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\Downloads\"/>
    </mc:Choice>
  </mc:AlternateContent>
  <bookViews>
    <workbookView xWindow="0" yWindow="0" windowWidth="23040" windowHeight="9084" firstSheet="2" activeTab="7"/>
  </bookViews>
  <sheets>
    <sheet name="Beginning Balance Sheet" sheetId="1" r:id="rId1"/>
    <sheet name="Chart of Accounts" sheetId="3" r:id="rId2"/>
    <sheet name="Journal Entries" sheetId="7" r:id="rId3"/>
    <sheet name="T-Accounts" sheetId="10" r:id="rId4"/>
    <sheet name="Trial Balance" sheetId="4" r:id="rId5"/>
    <sheet name="Closing Entries" sheetId="11" r:id="rId6"/>
    <sheet name="Income Statement" sheetId="8" r:id="rId7"/>
    <sheet name="Balance Sheet" sheetId="9" r:id="rId8"/>
  </sheets>
  <calcPr calcId="171027"/>
</workbook>
</file>

<file path=xl/calcChain.xml><?xml version="1.0" encoding="utf-8"?>
<calcChain xmlns="http://schemas.openxmlformats.org/spreadsheetml/2006/main">
  <c r="D13" i="8" l="1"/>
  <c r="C9" i="8"/>
  <c r="D18" i="11" l="1"/>
  <c r="C17" i="11"/>
  <c r="D15" i="11"/>
  <c r="D14" i="11"/>
  <c r="D13" i="11"/>
  <c r="D12" i="11"/>
  <c r="D11" i="11"/>
  <c r="D10" i="11"/>
  <c r="D9" i="11"/>
  <c r="D8" i="11"/>
  <c r="C7" i="11"/>
  <c r="D5" i="11"/>
  <c r="C4" i="11"/>
  <c r="C50" i="10" l="1"/>
  <c r="G37" i="10"/>
  <c r="G40" i="10" s="1"/>
  <c r="C20" i="4" s="1"/>
  <c r="L27" i="10"/>
  <c r="L29" i="10" s="1"/>
  <c r="D15" i="4" s="1"/>
  <c r="H27" i="10"/>
  <c r="D27" i="10"/>
  <c r="L21" i="10"/>
  <c r="H21" i="10"/>
  <c r="D21" i="10"/>
  <c r="K18" i="10"/>
  <c r="C9" i="4" s="1"/>
  <c r="C13" i="9" s="1"/>
  <c r="K15" i="10"/>
  <c r="G15" i="10"/>
  <c r="C15" i="10"/>
  <c r="K4" i="10"/>
  <c r="G5" i="10"/>
  <c r="D9" i="10"/>
  <c r="C4" i="10"/>
  <c r="F9" i="11" l="1"/>
  <c r="E66" i="7"/>
  <c r="C49" i="10" s="1"/>
  <c r="C51" i="10" s="1"/>
  <c r="E63" i="7"/>
  <c r="C43" i="10" s="1"/>
  <c r="F61" i="7"/>
  <c r="E60" i="7"/>
  <c r="F55" i="7"/>
  <c r="H16" i="10" s="1"/>
  <c r="F48" i="7"/>
  <c r="D11" i="10" s="1"/>
  <c r="E47" i="7"/>
  <c r="G49" i="10" s="1"/>
  <c r="G51" i="10" s="1"/>
  <c r="F45" i="7"/>
  <c r="D10" i="10" s="1"/>
  <c r="E44" i="7"/>
  <c r="C16" i="10" s="1"/>
  <c r="E38" i="7"/>
  <c r="K37" i="10" s="1"/>
  <c r="E37" i="7"/>
  <c r="K22" i="10" s="1"/>
  <c r="E31" i="7"/>
  <c r="G44" i="10" s="1"/>
  <c r="C38" i="7"/>
  <c r="C37" i="7"/>
  <c r="D39" i="7"/>
  <c r="F64" i="7" l="1"/>
  <c r="D17" i="10" s="1"/>
  <c r="L22" i="10"/>
  <c r="L24" i="10" s="1"/>
  <c r="D12" i="4" s="1"/>
  <c r="D20" i="9" s="1"/>
  <c r="K38" i="10"/>
  <c r="D18" i="8"/>
  <c r="C25" i="4"/>
  <c r="F14" i="11" s="1"/>
  <c r="K40" i="10"/>
  <c r="D19" i="8"/>
  <c r="C26" i="4"/>
  <c r="F15" i="11" s="1"/>
  <c r="F67" i="7"/>
  <c r="D22" i="10" s="1"/>
  <c r="D24" i="10" s="1"/>
  <c r="D10" i="4" s="1"/>
  <c r="E41" i="7"/>
  <c r="C44" i="10" s="1"/>
  <c r="C46" i="10" s="1"/>
  <c r="F35" i="7"/>
  <c r="D8" i="10" s="1"/>
  <c r="E34" i="7"/>
  <c r="K5" i="10" s="1"/>
  <c r="F32" i="7"/>
  <c r="E23" i="7"/>
  <c r="E26" i="7"/>
  <c r="G28" i="10" s="1"/>
  <c r="H29" i="10" s="1"/>
  <c r="D14" i="4" s="1"/>
  <c r="D22" i="9" s="1"/>
  <c r="F21" i="7"/>
  <c r="D6" i="10" s="1"/>
  <c r="E20" i="7"/>
  <c r="G23" i="10" s="1"/>
  <c r="F18" i="7"/>
  <c r="E17" i="7"/>
  <c r="G22" i="10" s="1"/>
  <c r="E14" i="7"/>
  <c r="F12" i="7"/>
  <c r="E11" i="7"/>
  <c r="F9" i="7"/>
  <c r="H5" i="10" s="1"/>
  <c r="F8" i="7"/>
  <c r="D5" i="10" s="1"/>
  <c r="E7" i="7"/>
  <c r="G32" i="10" s="1"/>
  <c r="G34" i="10" s="1"/>
  <c r="C17" i="4" s="1"/>
  <c r="F5" i="7"/>
  <c r="E4" i="7"/>
  <c r="G4" i="10" s="1"/>
  <c r="E3" i="7"/>
  <c r="C5" i="10" s="1"/>
  <c r="D67" i="7"/>
  <c r="C66" i="7"/>
  <c r="D64" i="7"/>
  <c r="C63" i="7"/>
  <c r="D61" i="7"/>
  <c r="C60" i="7"/>
  <c r="D58" i="7"/>
  <c r="C57" i="7"/>
  <c r="D55" i="7"/>
  <c r="D54" i="7"/>
  <c r="C53" i="7"/>
  <c r="C52" i="7"/>
  <c r="C51" i="7"/>
  <c r="D48" i="7"/>
  <c r="C47" i="7"/>
  <c r="D45" i="7"/>
  <c r="C44" i="7"/>
  <c r="D42" i="7"/>
  <c r="C41" i="7"/>
  <c r="D35" i="7"/>
  <c r="C34" i="7"/>
  <c r="D32" i="7"/>
  <c r="C31" i="7"/>
  <c r="D29" i="7"/>
  <c r="C28" i="7"/>
  <c r="C27" i="7"/>
  <c r="C26" i="7"/>
  <c r="D24" i="7"/>
  <c r="C23" i="7"/>
  <c r="D21" i="7"/>
  <c r="C20" i="7"/>
  <c r="D18" i="7"/>
  <c r="C17" i="7"/>
  <c r="D15" i="7"/>
  <c r="C14" i="7"/>
  <c r="D12" i="7"/>
  <c r="C11" i="7"/>
  <c r="D9" i="7"/>
  <c r="D8" i="7"/>
  <c r="C7" i="7"/>
  <c r="D5" i="7"/>
  <c r="C4" i="7"/>
  <c r="C3" i="7"/>
  <c r="D15" i="8" l="1"/>
  <c r="C22" i="4"/>
  <c r="F11" i="11" s="1"/>
  <c r="H6" i="10"/>
  <c r="C6" i="10"/>
  <c r="C11" i="8"/>
  <c r="D37" i="10"/>
  <c r="E52" i="7"/>
  <c r="C38" i="10" s="1"/>
  <c r="C10" i="8"/>
  <c r="K32" i="10"/>
  <c r="F54" i="7"/>
  <c r="E4" i="11"/>
  <c r="D32" i="10"/>
  <c r="D34" i="10" s="1"/>
  <c r="D16" i="4" s="1"/>
  <c r="C14" i="9"/>
  <c r="D15" i="9" s="1"/>
  <c r="D14" i="8"/>
  <c r="C21" i="4"/>
  <c r="F10" i="11" s="1"/>
  <c r="C6" i="8"/>
  <c r="F8" i="11"/>
  <c r="F24" i="7"/>
  <c r="K45" i="10"/>
  <c r="G12" i="10"/>
  <c r="C5" i="4" s="1"/>
  <c r="D7" i="9" s="1"/>
  <c r="F15" i="7"/>
  <c r="H22" i="10" s="1"/>
  <c r="H24" i="10" s="1"/>
  <c r="D11" i="4" s="1"/>
  <c r="D19" i="9" s="1"/>
  <c r="L5" i="10"/>
  <c r="F58" i="7"/>
  <c r="F42" i="7"/>
  <c r="D16" i="10" s="1"/>
  <c r="C18" i="10" s="1"/>
  <c r="C7" i="4" s="1"/>
  <c r="D9" i="9" s="1"/>
  <c r="D23" i="1"/>
  <c r="D26" i="1" s="1"/>
  <c r="L6" i="10" l="1"/>
  <c r="K12" i="10" s="1"/>
  <c r="C6" i="4" s="1"/>
  <c r="D8" i="9" s="1"/>
  <c r="E57" i="7"/>
  <c r="G45" i="10" s="1"/>
  <c r="G46" i="10" s="1"/>
  <c r="E51" i="7"/>
  <c r="L33" i="10"/>
  <c r="E27" i="7"/>
  <c r="D28" i="10"/>
  <c r="K34" i="10"/>
  <c r="C18" i="4" s="1"/>
  <c r="D40" i="10"/>
  <c r="D19" i="4" s="1"/>
  <c r="C5" i="8"/>
  <c r="D7" i="8" s="1"/>
  <c r="F5" i="11"/>
  <c r="D15" i="1"/>
  <c r="D11" i="1"/>
  <c r="D16" i="8" l="1"/>
  <c r="C23" i="4"/>
  <c r="F12" i="11" s="1"/>
  <c r="C12" i="8"/>
  <c r="G16" i="10"/>
  <c r="G18" i="10" s="1"/>
  <c r="C8" i="4" s="1"/>
  <c r="D10" i="9" s="1"/>
  <c r="C28" i="10"/>
  <c r="D29" i="10" s="1"/>
  <c r="D13" i="4" s="1"/>
  <c r="E28" i="7"/>
  <c r="K44" i="10" s="1"/>
  <c r="K46" i="10" s="1"/>
  <c r="F29" i="7"/>
  <c r="D7" i="10" s="1"/>
  <c r="C12" i="10" s="1"/>
  <c r="C4" i="4" s="1"/>
  <c r="D16" i="1"/>
  <c r="D21" i="9" l="1"/>
  <c r="D23" i="9" s="1"/>
  <c r="D27" i="4"/>
  <c r="D6" i="9"/>
  <c r="D11" i="9" s="1"/>
  <c r="D16" i="9" s="1"/>
  <c r="C27" i="4"/>
  <c r="D17" i="8"/>
  <c r="C24" i="4"/>
  <c r="F13" i="11" s="1"/>
  <c r="D20" i="8"/>
  <c r="D21" i="8" s="1"/>
  <c r="E7" i="11"/>
  <c r="E17" i="11" l="1"/>
  <c r="F18" i="11"/>
  <c r="D25" i="9"/>
  <c r="D26" i="9" s="1"/>
</calcChain>
</file>

<file path=xl/sharedStrings.xml><?xml version="1.0" encoding="utf-8"?>
<sst xmlns="http://schemas.openxmlformats.org/spreadsheetml/2006/main" count="196" uniqueCount="63">
  <si>
    <t>Cash</t>
  </si>
  <si>
    <t>Accounts Receivable</t>
  </si>
  <si>
    <t>Merchandise Inventory</t>
  </si>
  <si>
    <t>Liabilities and Stockholders' Equity</t>
  </si>
  <si>
    <t>Accounts Payable</t>
  </si>
  <si>
    <t>Wages Payable</t>
  </si>
  <si>
    <t>Interest Payable</t>
  </si>
  <si>
    <t>Balance Sheet</t>
  </si>
  <si>
    <t>Prepaid Insurance</t>
  </si>
  <si>
    <t>Chart of Accounts</t>
  </si>
  <si>
    <t>Notes Payable</t>
  </si>
  <si>
    <t>Sales</t>
  </si>
  <si>
    <t>Debit</t>
  </si>
  <si>
    <t>Credit</t>
  </si>
  <si>
    <t>Trial Balance</t>
  </si>
  <si>
    <t>Purchases</t>
  </si>
  <si>
    <t>Income Statement</t>
  </si>
  <si>
    <t>Net Income</t>
  </si>
  <si>
    <t>Sales Returns</t>
  </si>
  <si>
    <t>TOTAL</t>
  </si>
  <si>
    <t>Interest Expense</t>
  </si>
  <si>
    <t>Wage Expense</t>
  </si>
  <si>
    <t>Insurance Expense</t>
  </si>
  <si>
    <t>ADJUSTING ENTRIES</t>
  </si>
  <si>
    <t>Depreciation Expense</t>
  </si>
  <si>
    <t>Credit Amt</t>
  </si>
  <si>
    <t>Debit Amt</t>
  </si>
  <si>
    <t>Transaction #</t>
  </si>
  <si>
    <t>Retained Earnings</t>
  </si>
  <si>
    <t xml:space="preserve">Accumulated Depreciation </t>
  </si>
  <si>
    <t xml:space="preserve">Sales Returns </t>
  </si>
  <si>
    <t>Cost of Goods Sold</t>
  </si>
  <si>
    <t>Utility Expense</t>
  </si>
  <si>
    <t>Rent Expense</t>
  </si>
  <si>
    <t>EYES</t>
  </si>
  <si>
    <t xml:space="preserve">     Total Current Assets</t>
  </si>
  <si>
    <t xml:space="preserve">     Total Assets</t>
  </si>
  <si>
    <t xml:space="preserve">     Total Liabilities</t>
  </si>
  <si>
    <t xml:space="preserve">     Total Liabilities and Stockholders' Equity</t>
  </si>
  <si>
    <t xml:space="preserve">  Less:  Accumulated Depreciation </t>
  </si>
  <si>
    <t>Assets</t>
  </si>
  <si>
    <t>Income Summary</t>
  </si>
  <si>
    <t>Prepaid Rent</t>
  </si>
  <si>
    <t>Purchase Returns</t>
  </si>
  <si>
    <t>Equipment</t>
  </si>
  <si>
    <t>Net Equipment</t>
  </si>
  <si>
    <t>T-Accounts</t>
  </si>
  <si>
    <t>Beg. Bal.</t>
  </si>
  <si>
    <t>Accumulated Depreciation</t>
  </si>
  <si>
    <t>End. Bal</t>
  </si>
  <si>
    <t>End. Bal.</t>
  </si>
  <si>
    <t>As of December 31, 2013</t>
  </si>
  <si>
    <t>Beginning Merchandise Inventory</t>
  </si>
  <si>
    <t>Plus: Purchases</t>
  </si>
  <si>
    <t>Minus: Purchase Returns</t>
  </si>
  <si>
    <t>Minus: Ending Merchandise Inventory</t>
  </si>
  <si>
    <t xml:space="preserve">  Net Sales</t>
  </si>
  <si>
    <t xml:space="preserve">  Cost of Goods Sold</t>
  </si>
  <si>
    <t xml:space="preserve">Minus: Sales Returns </t>
  </si>
  <si>
    <t>Total Expenses</t>
  </si>
  <si>
    <t>CLOSING ENTRIES</t>
  </si>
  <si>
    <t>For the Year Ended December 31, 2014</t>
  </si>
  <si>
    <t>As of December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</si>
</sst>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"/>
      <name val="Arial Narrow"/>
      <family val="2"/>
    </font>
    <font>
      <b/>
      <u val="double"/>
      <sz val="11"/>
      <color theme="1"/>
      <name val="Arial Narrow"/>
      <family val="2"/>
    </font>
    <font>
      <b/>
      <u val="doubleAccounting"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2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6" fillId="0" borderId="4" xfId="0" applyFont="1" applyBorder="1"/>
    <xf numFmtId="0" fontId="5" fillId="0" borderId="6" xfId="0" applyFont="1" applyBorder="1"/>
    <xf numFmtId="0" fontId="5" fillId="0" borderId="8" xfId="0" applyFont="1" applyBorder="1"/>
    <xf numFmtId="164" fontId="5" fillId="0" borderId="0" xfId="0" applyNumberFormat="1" applyFont="1"/>
    <xf numFmtId="164" fontId="5" fillId="0" borderId="0" xfId="0" applyNumberFormat="1" applyFont="1" applyBorder="1"/>
    <xf numFmtId="164" fontId="5" fillId="0" borderId="5" xfId="0" applyNumberFormat="1" applyFont="1" applyBorder="1"/>
    <xf numFmtId="164" fontId="5" fillId="0" borderId="1" xfId="0" applyNumberFormat="1" applyFont="1" applyBorder="1"/>
    <xf numFmtId="164" fontId="5" fillId="0" borderId="13" xfId="0" applyNumberFormat="1" applyFont="1" applyBorder="1"/>
    <xf numFmtId="164" fontId="5" fillId="0" borderId="0" xfId="1" applyNumberFormat="1" applyFont="1" applyBorder="1"/>
    <xf numFmtId="164" fontId="5" fillId="0" borderId="5" xfId="1" applyNumberFormat="1" applyFont="1" applyBorder="1"/>
    <xf numFmtId="164" fontId="7" fillId="0" borderId="5" xfId="0" applyNumberFormat="1" applyFont="1" applyBorder="1"/>
    <xf numFmtId="164" fontId="5" fillId="0" borderId="8" xfId="0" applyNumberFormat="1" applyFont="1" applyBorder="1"/>
    <xf numFmtId="164" fontId="6" fillId="0" borderId="0" xfId="0" applyNumberFormat="1" applyFont="1" applyBorder="1"/>
    <xf numFmtId="164" fontId="8" fillId="0" borderId="5" xfId="0" applyNumberFormat="1" applyFont="1" applyBorder="1"/>
    <xf numFmtId="0" fontId="6" fillId="0" borderId="6" xfId="0" applyFont="1" applyBorder="1"/>
    <xf numFmtId="164" fontId="6" fillId="0" borderId="8" xfId="0" applyNumberFormat="1" applyFont="1" applyBorder="1"/>
    <xf numFmtId="164" fontId="9" fillId="0" borderId="7" xfId="1" applyNumberFormat="1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0" fillId="0" borderId="4" xfId="2" applyNumberFormat="1" applyFont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0" fontId="5" fillId="0" borderId="8" xfId="0" applyFont="1" applyFill="1" applyBorder="1"/>
    <xf numFmtId="164" fontId="5" fillId="0" borderId="8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/>
    <xf numFmtId="164" fontId="5" fillId="2" borderId="0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12" xfId="0" applyFont="1" applyFill="1" applyBorder="1"/>
    <xf numFmtId="0" fontId="5" fillId="2" borderId="12" xfId="0" applyFont="1" applyFill="1" applyBorder="1"/>
    <xf numFmtId="164" fontId="5" fillId="0" borderId="12" xfId="0" applyNumberFormat="1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/>
    </xf>
    <xf numFmtId="0" fontId="5" fillId="2" borderId="8" xfId="0" applyFont="1" applyFill="1" applyBorder="1"/>
    <xf numFmtId="164" fontId="5" fillId="2" borderId="8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0" fontId="6" fillId="2" borderId="0" xfId="0" applyFont="1" applyFill="1" applyBorder="1"/>
    <xf numFmtId="164" fontId="5" fillId="2" borderId="12" xfId="0" applyNumberFormat="1" applyFont="1" applyFill="1" applyBorder="1" applyAlignment="1">
      <alignment horizontal="right"/>
    </xf>
    <xf numFmtId="0" fontId="6" fillId="2" borderId="6" xfId="0" applyFont="1" applyFill="1" applyBorder="1"/>
    <xf numFmtId="164" fontId="5" fillId="2" borderId="7" xfId="0" applyNumberFormat="1" applyFont="1" applyFill="1" applyBorder="1" applyAlignment="1">
      <alignment horizontal="right"/>
    </xf>
    <xf numFmtId="0" fontId="5" fillId="2" borderId="15" xfId="0" applyFont="1" applyFill="1" applyBorder="1"/>
    <xf numFmtId="164" fontId="5" fillId="2" borderId="15" xfId="0" applyNumberFormat="1" applyFont="1" applyFill="1" applyBorder="1" applyAlignment="1">
      <alignment horizontal="right"/>
    </xf>
    <xf numFmtId="164" fontId="5" fillId="2" borderId="16" xfId="0" applyNumberFormat="1" applyFont="1" applyFill="1" applyBorder="1" applyAlignment="1">
      <alignment horizontal="right"/>
    </xf>
    <xf numFmtId="0" fontId="5" fillId="0" borderId="12" xfId="0" applyFont="1" applyBorder="1"/>
    <xf numFmtId="0" fontId="5" fillId="0" borderId="5" xfId="0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4" fillId="0" borderId="11" xfId="0" applyFont="1" applyBorder="1" applyAlignment="1">
      <alignment horizontal="center"/>
    </xf>
    <xf numFmtId="0" fontId="5" fillId="0" borderId="7" xfId="0" applyFont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164" fontId="2" fillId="0" borderId="11" xfId="0" applyNumberFormat="1" applyFont="1" applyBorder="1" applyAlignment="1">
      <alignment horizontal="center"/>
    </xf>
    <xf numFmtId="164" fontId="0" fillId="0" borderId="25" xfId="2" applyNumberFormat="1" applyFont="1" applyBorder="1" applyAlignment="1">
      <alignment horizontal="right"/>
    </xf>
    <xf numFmtId="164" fontId="3" fillId="0" borderId="26" xfId="2" applyNumberFormat="1" applyFont="1" applyBorder="1" applyAlignment="1">
      <alignment horizontal="right"/>
    </xf>
    <xf numFmtId="0" fontId="6" fillId="0" borderId="11" xfId="0" applyFont="1" applyFill="1" applyBorder="1"/>
    <xf numFmtId="164" fontId="5" fillId="2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8" xfId="0" applyNumberFormat="1" applyFont="1" applyFill="1" applyBorder="1"/>
    <xf numFmtId="164" fontId="5" fillId="0" borderId="0" xfId="0" applyNumberFormat="1" applyFont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5" fillId="0" borderId="22" xfId="0" applyNumberFormat="1" applyFont="1" applyBorder="1" applyAlignment="1">
      <alignment horizontal="left"/>
    </xf>
    <xf numFmtId="164" fontId="5" fillId="0" borderId="21" xfId="0" applyNumberFormat="1" applyFont="1" applyBorder="1" applyAlignment="1">
      <alignment horizontal="left"/>
    </xf>
    <xf numFmtId="164" fontId="5" fillId="2" borderId="0" xfId="0" applyNumberFormat="1" applyFont="1" applyFill="1" applyBorder="1" applyAlignment="1">
      <alignment horizontal="left"/>
    </xf>
    <xf numFmtId="164" fontId="5" fillId="0" borderId="5" xfId="0" applyNumberFormat="1" applyFont="1" applyFill="1" applyBorder="1"/>
    <xf numFmtId="164" fontId="5" fillId="0" borderId="5" xfId="2" applyNumberFormat="1" applyFont="1" applyFill="1" applyBorder="1"/>
    <xf numFmtId="164" fontId="5" fillId="0" borderId="13" xfId="0" applyNumberFormat="1" applyFont="1" applyFill="1" applyBorder="1"/>
    <xf numFmtId="0" fontId="2" fillId="0" borderId="14" xfId="0" applyFont="1" applyBorder="1" applyAlignment="1">
      <alignment horizontal="center"/>
    </xf>
    <xf numFmtId="164" fontId="5" fillId="0" borderId="9" xfId="0" applyNumberFormat="1" applyFont="1" applyBorder="1" applyAlignment="1">
      <alignment horizontal="left"/>
    </xf>
    <xf numFmtId="164" fontId="2" fillId="0" borderId="0" xfId="0" applyNumberFormat="1" applyFont="1"/>
    <xf numFmtId="0" fontId="6" fillId="0" borderId="6" xfId="0" applyFont="1" applyFill="1" applyBorder="1"/>
    <xf numFmtId="0" fontId="6" fillId="2" borderId="14" xfId="0" applyFont="1" applyFill="1" applyBorder="1"/>
    <xf numFmtId="0" fontId="5" fillId="2" borderId="14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15" xfId="0" applyFont="1" applyFill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164" fontId="5" fillId="0" borderId="0" xfId="0" applyNumberFormat="1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0" fontId="5" fillId="3" borderId="12" xfId="0" applyFont="1" applyFill="1" applyBorder="1"/>
    <xf numFmtId="0" fontId="5" fillId="3" borderId="0" xfId="0" applyFont="1" applyFill="1" applyBorder="1"/>
    <xf numFmtId="0" fontId="5" fillId="3" borderId="8" xfId="0" applyFont="1" applyFill="1" applyBorder="1"/>
    <xf numFmtId="164" fontId="5" fillId="3" borderId="12" xfId="0" applyNumberFormat="1" applyFont="1" applyFill="1" applyBorder="1" applyAlignment="1">
      <alignment horizontal="right"/>
    </xf>
    <xf numFmtId="164" fontId="5" fillId="3" borderId="0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horizontal="right"/>
    </xf>
    <xf numFmtId="164" fontId="5" fillId="3" borderId="5" xfId="0" applyNumberFormat="1" applyFont="1" applyFill="1" applyBorder="1" applyAlignment="1">
      <alignment horizontal="right"/>
    </xf>
    <xf numFmtId="164" fontId="5" fillId="3" borderId="7" xfId="2" applyNumberFormat="1" applyFont="1" applyFill="1" applyBorder="1" applyAlignment="1">
      <alignment horizontal="right"/>
    </xf>
    <xf numFmtId="164" fontId="5" fillId="3" borderId="0" xfId="0" applyNumberFormat="1" applyFont="1" applyFill="1" applyBorder="1"/>
    <xf numFmtId="164" fontId="5" fillId="3" borderId="10" xfId="0" applyNumberFormat="1" applyFont="1" applyFill="1" applyBorder="1" applyAlignment="1">
      <alignment horizontal="left"/>
    </xf>
    <xf numFmtId="164" fontId="5" fillId="3" borderId="22" xfId="0" applyNumberFormat="1" applyFont="1" applyFill="1" applyBorder="1" applyAlignment="1">
      <alignment horizontal="left"/>
    </xf>
    <xf numFmtId="164" fontId="5" fillId="3" borderId="8" xfId="0" applyNumberFormat="1" applyFont="1" applyFill="1" applyBorder="1"/>
    <xf numFmtId="164" fontId="5" fillId="3" borderId="9" xfId="0" applyNumberFormat="1" applyFont="1" applyFill="1" applyBorder="1" applyAlignment="1">
      <alignment horizontal="left"/>
    </xf>
    <xf numFmtId="164" fontId="5" fillId="3" borderId="21" xfId="0" applyNumberFormat="1" applyFont="1" applyFill="1" applyBorder="1" applyAlignment="1">
      <alignment horizontal="left"/>
    </xf>
    <xf numFmtId="164" fontId="5" fillId="3" borderId="1" xfId="0" applyNumberFormat="1" applyFont="1" applyFill="1" applyBorder="1"/>
    <xf numFmtId="164" fontId="0" fillId="3" borderId="4" xfId="2" applyNumberFormat="1" applyFont="1" applyFill="1" applyBorder="1" applyAlignment="1">
      <alignment horizontal="right"/>
    </xf>
    <xf numFmtId="164" fontId="0" fillId="3" borderId="25" xfId="2" applyNumberFormat="1" applyFont="1" applyFill="1" applyBorder="1" applyAlignment="1">
      <alignment horizontal="right"/>
    </xf>
    <xf numFmtId="164" fontId="3" fillId="3" borderId="4" xfId="2" applyNumberFormat="1" applyFont="1" applyFill="1" applyBorder="1" applyAlignment="1">
      <alignment horizontal="right"/>
    </xf>
    <xf numFmtId="164" fontId="2" fillId="3" borderId="11" xfId="2" applyNumberFormat="1" applyFont="1" applyFill="1" applyBorder="1" applyAlignment="1">
      <alignment horizontal="right"/>
    </xf>
    <xf numFmtId="164" fontId="5" fillId="3" borderId="5" xfId="0" applyNumberFormat="1" applyFont="1" applyFill="1" applyBorder="1"/>
    <xf numFmtId="164" fontId="5" fillId="3" borderId="12" xfId="0" applyNumberFormat="1" applyFont="1" applyFill="1" applyBorder="1"/>
    <xf numFmtId="164" fontId="5" fillId="3" borderId="13" xfId="0" applyNumberFormat="1" applyFont="1" applyFill="1" applyBorder="1"/>
    <xf numFmtId="164" fontId="6" fillId="3" borderId="27" xfId="0" applyNumberFormat="1" applyFont="1" applyFill="1" applyBorder="1"/>
    <xf numFmtId="164" fontId="5" fillId="3" borderId="0" xfId="1" applyNumberFormat="1" applyFont="1" applyFill="1" applyBorder="1"/>
    <xf numFmtId="164" fontId="8" fillId="3" borderId="5" xfId="0" applyNumberFormat="1" applyFont="1" applyFill="1" applyBorder="1"/>
    <xf numFmtId="164" fontId="5" fillId="3" borderId="5" xfId="1" applyNumberFormat="1" applyFont="1" applyFill="1" applyBorder="1"/>
    <xf numFmtId="164" fontId="7" fillId="3" borderId="5" xfId="0" applyNumberFormat="1" applyFont="1" applyFill="1" applyBorder="1"/>
    <xf numFmtId="164" fontId="9" fillId="3" borderId="7" xfId="1" applyNumberFormat="1" applyFont="1" applyFill="1" applyBorder="1"/>
    <xf numFmtId="164" fontId="5" fillId="0" borderId="1" xfId="0" applyNumberFormat="1" applyFont="1" applyFill="1" applyBorder="1"/>
    <xf numFmtId="164" fontId="5" fillId="0" borderId="22" xfId="0" applyNumberFormat="1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G32" sqref="G32"/>
    </sheetView>
  </sheetViews>
  <sheetFormatPr defaultColWidth="9.109375" defaultRowHeight="13.8" x14ac:dyDescent="0.25"/>
  <cols>
    <col min="1" max="1" width="3.6640625" style="5" customWidth="1"/>
    <col min="2" max="2" width="47.5546875" style="5" customWidth="1"/>
    <col min="3" max="3" width="12.5546875" style="15" bestFit="1" customWidth="1"/>
    <col min="4" max="4" width="10" style="15" bestFit="1" customWidth="1"/>
    <col min="5" max="16384" width="9.109375" style="5"/>
  </cols>
  <sheetData>
    <row r="1" spans="2:4" ht="14.4" thickBot="1" x14ac:dyDescent="0.3"/>
    <row r="2" spans="2:4" x14ac:dyDescent="0.25">
      <c r="B2" s="141" t="s">
        <v>34</v>
      </c>
      <c r="C2" s="142"/>
      <c r="D2" s="143"/>
    </row>
    <row r="3" spans="2:4" x14ac:dyDescent="0.25">
      <c r="B3" s="135" t="s">
        <v>7</v>
      </c>
      <c r="C3" s="136"/>
      <c r="D3" s="137"/>
    </row>
    <row r="4" spans="2:4" ht="14.4" thickBot="1" x14ac:dyDescent="0.3">
      <c r="B4" s="138" t="s">
        <v>51</v>
      </c>
      <c r="C4" s="139"/>
      <c r="D4" s="140"/>
    </row>
    <row r="5" spans="2:4" x14ac:dyDescent="0.25">
      <c r="B5" s="31" t="s">
        <v>40</v>
      </c>
      <c r="C5" s="29"/>
      <c r="D5" s="30"/>
    </row>
    <row r="6" spans="2:4" x14ac:dyDescent="0.25">
      <c r="B6" s="9" t="s">
        <v>0</v>
      </c>
      <c r="C6" s="82"/>
      <c r="D6" s="89">
        <v>32000</v>
      </c>
    </row>
    <row r="7" spans="2:4" x14ac:dyDescent="0.25">
      <c r="B7" s="9" t="s">
        <v>1</v>
      </c>
      <c r="C7" s="82"/>
      <c r="D7" s="89">
        <v>42000</v>
      </c>
    </row>
    <row r="8" spans="2:4" x14ac:dyDescent="0.25">
      <c r="B8" s="9" t="s">
        <v>42</v>
      </c>
      <c r="C8" s="82"/>
      <c r="D8" s="89">
        <v>7500</v>
      </c>
    </row>
    <row r="9" spans="2:4" x14ac:dyDescent="0.25">
      <c r="B9" s="9" t="s">
        <v>8</v>
      </c>
      <c r="C9" s="82"/>
      <c r="D9" s="90">
        <v>2240</v>
      </c>
    </row>
    <row r="10" spans="2:4" x14ac:dyDescent="0.25">
      <c r="B10" s="9" t="s">
        <v>2</v>
      </c>
      <c r="C10" s="82"/>
      <c r="D10" s="91">
        <v>34500</v>
      </c>
    </row>
    <row r="11" spans="2:4" x14ac:dyDescent="0.25">
      <c r="B11" s="9" t="s">
        <v>35</v>
      </c>
      <c r="C11" s="82"/>
      <c r="D11" s="89">
        <f>SUM(D6:D10)</f>
        <v>118240</v>
      </c>
    </row>
    <row r="12" spans="2:4" x14ac:dyDescent="0.25">
      <c r="B12" s="9"/>
      <c r="C12" s="16"/>
      <c r="D12" s="17"/>
    </row>
    <row r="13" spans="2:4" x14ac:dyDescent="0.25">
      <c r="B13" s="9" t="s">
        <v>44</v>
      </c>
      <c r="C13" s="20">
        <v>80000</v>
      </c>
      <c r="D13" s="17"/>
    </row>
    <row r="14" spans="2:4" x14ac:dyDescent="0.25">
      <c r="B14" s="9" t="s">
        <v>39</v>
      </c>
      <c r="C14" s="18">
        <v>24000</v>
      </c>
      <c r="D14" s="17"/>
    </row>
    <row r="15" spans="2:4" x14ac:dyDescent="0.25">
      <c r="B15" s="9" t="s">
        <v>45</v>
      </c>
      <c r="C15" s="16"/>
      <c r="D15" s="19">
        <f>C13-C14</f>
        <v>56000</v>
      </c>
    </row>
    <row r="16" spans="2:4" s="8" customFormat="1" x14ac:dyDescent="0.25">
      <c r="B16" s="12" t="s">
        <v>36</v>
      </c>
      <c r="C16" s="24"/>
      <c r="D16" s="25">
        <f>SUM(D11:D15)</f>
        <v>174240</v>
      </c>
    </row>
    <row r="17" spans="2:12" x14ac:dyDescent="0.25">
      <c r="B17" s="9"/>
      <c r="C17" s="16"/>
      <c r="D17" s="17"/>
    </row>
    <row r="18" spans="2:12" x14ac:dyDescent="0.25">
      <c r="B18" s="12" t="s">
        <v>3</v>
      </c>
      <c r="C18" s="16"/>
      <c r="D18" s="17"/>
    </row>
    <row r="19" spans="2:12" x14ac:dyDescent="0.25">
      <c r="B19" s="9" t="s">
        <v>4</v>
      </c>
      <c r="C19" s="16"/>
      <c r="D19" s="17">
        <v>77000</v>
      </c>
    </row>
    <row r="20" spans="2:12" x14ac:dyDescent="0.25">
      <c r="B20" s="9" t="s">
        <v>5</v>
      </c>
      <c r="C20" s="16"/>
      <c r="D20" s="17">
        <v>10100</v>
      </c>
    </row>
    <row r="21" spans="2:12" x14ac:dyDescent="0.25">
      <c r="B21" s="9" t="s">
        <v>6</v>
      </c>
      <c r="C21" s="16"/>
      <c r="D21" s="17">
        <v>0</v>
      </c>
    </row>
    <row r="22" spans="2:12" x14ac:dyDescent="0.25">
      <c r="B22" s="9" t="s">
        <v>10</v>
      </c>
      <c r="C22" s="16"/>
      <c r="D22" s="19">
        <v>20000</v>
      </c>
    </row>
    <row r="23" spans="2:12" x14ac:dyDescent="0.25">
      <c r="B23" s="9" t="s">
        <v>37</v>
      </c>
      <c r="C23" s="16"/>
      <c r="D23" s="21">
        <f>SUM(D19:D22)</f>
        <v>107100</v>
      </c>
    </row>
    <row r="24" spans="2:12" x14ac:dyDescent="0.25">
      <c r="B24" s="9"/>
      <c r="C24" s="16"/>
      <c r="D24" s="21"/>
    </row>
    <row r="25" spans="2:12" x14ac:dyDescent="0.25">
      <c r="B25" s="9" t="s">
        <v>28</v>
      </c>
      <c r="C25" s="16"/>
      <c r="D25" s="22">
        <v>67140</v>
      </c>
    </row>
    <row r="26" spans="2:12" s="8" customFormat="1" ht="16.2" thickBot="1" x14ac:dyDescent="0.45">
      <c r="B26" s="26" t="s">
        <v>38</v>
      </c>
      <c r="C26" s="27"/>
      <c r="D26" s="28">
        <f>SUM(D23:D25)</f>
        <v>174240</v>
      </c>
    </row>
    <row r="27" spans="2:12" x14ac:dyDescent="0.25">
      <c r="L27" s="15"/>
    </row>
  </sheetData>
  <mergeCells count="3">
    <mergeCell ref="B3:D3"/>
    <mergeCell ref="B4:D4"/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topLeftCell="A7" workbookViewId="0">
      <selection activeCell="B17" sqref="B17"/>
    </sheetView>
  </sheetViews>
  <sheetFormatPr defaultRowHeight="14.4" x14ac:dyDescent="0.3"/>
  <cols>
    <col min="1" max="1" width="4.109375" customWidth="1"/>
    <col min="2" max="2" width="37.33203125" style="5" bestFit="1" customWidth="1"/>
  </cols>
  <sheetData>
    <row r="1" spans="2:2" ht="15" thickBot="1" x14ac:dyDescent="0.35"/>
    <row r="2" spans="2:2" ht="24" thickBot="1" x14ac:dyDescent="0.5">
      <c r="B2" s="70" t="s">
        <v>9</v>
      </c>
    </row>
    <row r="3" spans="2:2" x14ac:dyDescent="0.3">
      <c r="B3" s="69" t="s">
        <v>0</v>
      </c>
    </row>
    <row r="4" spans="2:2" x14ac:dyDescent="0.3">
      <c r="B4" s="67" t="s">
        <v>1</v>
      </c>
    </row>
    <row r="5" spans="2:2" x14ac:dyDescent="0.3">
      <c r="B5" s="67" t="s">
        <v>8</v>
      </c>
    </row>
    <row r="6" spans="2:2" x14ac:dyDescent="0.3">
      <c r="B6" s="67" t="s">
        <v>42</v>
      </c>
    </row>
    <row r="7" spans="2:2" x14ac:dyDescent="0.3">
      <c r="B7" s="67" t="s">
        <v>2</v>
      </c>
    </row>
    <row r="8" spans="2:2" x14ac:dyDescent="0.3">
      <c r="B8" s="67" t="s">
        <v>44</v>
      </c>
    </row>
    <row r="9" spans="2:2" x14ac:dyDescent="0.3">
      <c r="B9" s="67" t="s">
        <v>29</v>
      </c>
    </row>
    <row r="10" spans="2:2" x14ac:dyDescent="0.3">
      <c r="B10" s="67" t="s">
        <v>4</v>
      </c>
    </row>
    <row r="11" spans="2:2" x14ac:dyDescent="0.3">
      <c r="B11" s="67" t="s">
        <v>5</v>
      </c>
    </row>
    <row r="12" spans="2:2" x14ac:dyDescent="0.3">
      <c r="B12" s="67" t="s">
        <v>6</v>
      </c>
    </row>
    <row r="13" spans="2:2" x14ac:dyDescent="0.3">
      <c r="B13" s="67" t="s">
        <v>10</v>
      </c>
    </row>
    <row r="14" spans="2:2" x14ac:dyDescent="0.3">
      <c r="B14" s="67" t="s">
        <v>28</v>
      </c>
    </row>
    <row r="15" spans="2:2" x14ac:dyDescent="0.3">
      <c r="B15" s="67" t="s">
        <v>41</v>
      </c>
    </row>
    <row r="16" spans="2:2" x14ac:dyDescent="0.3">
      <c r="B16" s="67" t="s">
        <v>11</v>
      </c>
    </row>
    <row r="17" spans="2:2" x14ac:dyDescent="0.3">
      <c r="B17" s="67" t="s">
        <v>30</v>
      </c>
    </row>
    <row r="18" spans="2:2" x14ac:dyDescent="0.3">
      <c r="B18" s="67" t="s">
        <v>15</v>
      </c>
    </row>
    <row r="19" spans="2:2" x14ac:dyDescent="0.3">
      <c r="B19" s="67" t="s">
        <v>43</v>
      </c>
    </row>
    <row r="20" spans="2:2" x14ac:dyDescent="0.3">
      <c r="B20" s="67" t="s">
        <v>31</v>
      </c>
    </row>
    <row r="21" spans="2:2" x14ac:dyDescent="0.3">
      <c r="B21" s="67" t="s">
        <v>21</v>
      </c>
    </row>
    <row r="22" spans="2:2" x14ac:dyDescent="0.3">
      <c r="B22" s="67" t="s">
        <v>22</v>
      </c>
    </row>
    <row r="23" spans="2:2" x14ac:dyDescent="0.3">
      <c r="B23" s="67" t="s">
        <v>33</v>
      </c>
    </row>
    <row r="24" spans="2:2" x14ac:dyDescent="0.3">
      <c r="B24" s="67" t="s">
        <v>20</v>
      </c>
    </row>
    <row r="25" spans="2:2" x14ac:dyDescent="0.3">
      <c r="B25" s="67" t="s">
        <v>24</v>
      </c>
    </row>
    <row r="26" spans="2:2" ht="15" thickBot="1" x14ac:dyDescent="0.35">
      <c r="B26" s="68" t="s">
        <v>32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8"/>
  <sheetViews>
    <sheetView topLeftCell="A37" workbookViewId="0">
      <selection activeCell="E52" sqref="E52"/>
    </sheetView>
  </sheetViews>
  <sheetFormatPr defaultColWidth="9.109375" defaultRowHeight="13.8" x14ac:dyDescent="0.25"/>
  <cols>
    <col min="1" max="1" width="3.5546875" style="5" customWidth="1"/>
    <col min="2" max="2" width="12.5546875" style="6" bestFit="1" customWidth="1"/>
    <col min="3" max="3" width="28" style="5" bestFit="1" customWidth="1"/>
    <col min="4" max="4" width="27.33203125" style="5" customWidth="1"/>
    <col min="5" max="6" width="13.6640625" style="7" customWidth="1"/>
    <col min="7" max="16384" width="9.109375" style="5"/>
  </cols>
  <sheetData>
    <row r="1" spans="2:6" ht="13.5" customHeight="1" thickBot="1" x14ac:dyDescent="0.3"/>
    <row r="2" spans="2:6" ht="14.4" thickBot="1" x14ac:dyDescent="0.3">
      <c r="B2" s="45" t="s">
        <v>27</v>
      </c>
      <c r="C2" s="47" t="s">
        <v>12</v>
      </c>
      <c r="D2" s="47" t="s">
        <v>13</v>
      </c>
      <c r="E2" s="48" t="s">
        <v>26</v>
      </c>
      <c r="F2" s="49" t="s">
        <v>25</v>
      </c>
    </row>
    <row r="3" spans="2:6" x14ac:dyDescent="0.25">
      <c r="B3" s="50">
        <v>1</v>
      </c>
      <c r="C3" s="105" t="str">
        <f>'Chart of Accounts'!B3</f>
        <v>Cash</v>
      </c>
      <c r="D3" s="51"/>
      <c r="E3" s="108">
        <f>12400*80*0.75</f>
        <v>744000</v>
      </c>
      <c r="F3" s="57"/>
    </row>
    <row r="4" spans="2:6" x14ac:dyDescent="0.25">
      <c r="B4" s="41"/>
      <c r="C4" s="106" t="str">
        <f>'Chart of Accounts'!B4</f>
        <v>Accounts Receivable</v>
      </c>
      <c r="D4" s="36"/>
      <c r="E4" s="109">
        <f>12400*80*0.25</f>
        <v>248000</v>
      </c>
      <c r="F4" s="38"/>
    </row>
    <row r="5" spans="2:6" ht="14.4" thickBot="1" x14ac:dyDescent="0.3">
      <c r="B5" s="46"/>
      <c r="C5" s="39"/>
      <c r="D5" s="107" t="str">
        <f>'Chart of Accounts'!B16</f>
        <v>Sales</v>
      </c>
      <c r="E5" s="40"/>
      <c r="F5" s="110">
        <f>12400*80</f>
        <v>992000</v>
      </c>
    </row>
    <row r="6" spans="2:6" s="34" customFormat="1" ht="14.4" thickBot="1" x14ac:dyDescent="0.3">
      <c r="B6" s="97"/>
      <c r="C6" s="62"/>
      <c r="D6" s="62"/>
      <c r="E6" s="63"/>
      <c r="F6" s="64"/>
    </row>
    <row r="7" spans="2:6" x14ac:dyDescent="0.25">
      <c r="B7" s="50">
        <v>2</v>
      </c>
      <c r="C7" s="105" t="str">
        <f>'Chart of Accounts'!B17</f>
        <v xml:space="preserve">Sales Returns </v>
      </c>
      <c r="D7" s="51"/>
      <c r="E7" s="108">
        <f>600*80</f>
        <v>48000</v>
      </c>
      <c r="F7" s="57"/>
    </row>
    <row r="8" spans="2:6" x14ac:dyDescent="0.25">
      <c r="B8" s="41"/>
      <c r="C8" s="36"/>
      <c r="D8" s="106" t="str">
        <f>'Chart of Accounts'!B3</f>
        <v>Cash</v>
      </c>
      <c r="E8" s="37"/>
      <c r="F8" s="111">
        <f>600*80*0.75</f>
        <v>36000</v>
      </c>
    </row>
    <row r="9" spans="2:6" ht="14.4" thickBot="1" x14ac:dyDescent="0.3">
      <c r="B9" s="46"/>
      <c r="C9" s="39"/>
      <c r="D9" s="107" t="str">
        <f>'Chart of Accounts'!B4</f>
        <v>Accounts Receivable</v>
      </c>
      <c r="E9" s="40"/>
      <c r="F9" s="110">
        <f>600*80*0.25</f>
        <v>12000</v>
      </c>
    </row>
    <row r="10" spans="2:6" ht="14.4" thickBot="1" x14ac:dyDescent="0.3">
      <c r="B10" s="97"/>
      <c r="C10" s="62"/>
      <c r="D10" s="62"/>
      <c r="E10" s="63"/>
      <c r="F10" s="64"/>
    </row>
    <row r="11" spans="2:6" x14ac:dyDescent="0.25">
      <c r="B11" s="50">
        <v>3</v>
      </c>
      <c r="C11" s="105" t="str">
        <f>'Chart of Accounts'!B3</f>
        <v>Cash</v>
      </c>
      <c r="D11" s="51"/>
      <c r="E11" s="108">
        <f>197500</f>
        <v>197500</v>
      </c>
      <c r="F11" s="57"/>
    </row>
    <row r="12" spans="2:6" ht="14.4" thickBot="1" x14ac:dyDescent="0.3">
      <c r="B12" s="46"/>
      <c r="C12" s="39"/>
      <c r="D12" s="107" t="str">
        <f>'Chart of Accounts'!B4</f>
        <v>Accounts Receivable</v>
      </c>
      <c r="E12" s="40"/>
      <c r="F12" s="110">
        <f>197500</f>
        <v>197500</v>
      </c>
    </row>
    <row r="13" spans="2:6" ht="14.4" thickBot="1" x14ac:dyDescent="0.3">
      <c r="B13" s="41"/>
      <c r="C13" s="42"/>
      <c r="D13" s="42"/>
      <c r="E13" s="43"/>
      <c r="F13" s="44"/>
    </row>
    <row r="14" spans="2:6" x14ac:dyDescent="0.25">
      <c r="B14" s="50">
        <v>4</v>
      </c>
      <c r="C14" s="105" t="str">
        <f>'Chart of Accounts'!B18</f>
        <v>Purchases</v>
      </c>
      <c r="D14" s="51"/>
      <c r="E14" s="108">
        <f>2000*27+3900*35+4000*33+2400*32+3600*35</f>
        <v>525300</v>
      </c>
      <c r="F14" s="57"/>
    </row>
    <row r="15" spans="2:6" ht="14.4" thickBot="1" x14ac:dyDescent="0.3">
      <c r="B15" s="46"/>
      <c r="C15" s="39"/>
      <c r="D15" s="107" t="str">
        <f>'Chart of Accounts'!B10</f>
        <v>Accounts Payable</v>
      </c>
      <c r="E15" s="40"/>
      <c r="F15" s="110">
        <f>E14</f>
        <v>525300</v>
      </c>
    </row>
    <row r="16" spans="2:6" ht="14.4" thickBot="1" x14ac:dyDescent="0.3">
      <c r="B16" s="41"/>
      <c r="C16" s="42"/>
      <c r="D16" s="42"/>
      <c r="E16" s="43"/>
      <c r="F16" s="44"/>
    </row>
    <row r="17" spans="2:6" x14ac:dyDescent="0.25">
      <c r="B17" s="50">
        <v>5</v>
      </c>
      <c r="C17" s="105" t="str">
        <f>'Chart of Accounts'!B10</f>
        <v>Accounts Payable</v>
      </c>
      <c r="D17" s="51"/>
      <c r="E17" s="108">
        <f>270*32</f>
        <v>8640</v>
      </c>
      <c r="F17" s="57"/>
    </row>
    <row r="18" spans="2:6" ht="14.4" thickBot="1" x14ac:dyDescent="0.3">
      <c r="B18" s="46"/>
      <c r="C18" s="39"/>
      <c r="D18" s="107" t="str">
        <f>'Chart of Accounts'!B19</f>
        <v>Purchase Returns</v>
      </c>
      <c r="E18" s="40"/>
      <c r="F18" s="110">
        <f>270*32</f>
        <v>8640</v>
      </c>
    </row>
    <row r="19" spans="2:6" ht="14.4" thickBot="1" x14ac:dyDescent="0.3">
      <c r="B19" s="41"/>
      <c r="C19" s="42"/>
      <c r="D19" s="42"/>
      <c r="E19" s="43"/>
      <c r="F19" s="44"/>
    </row>
    <row r="20" spans="2:6" x14ac:dyDescent="0.25">
      <c r="B20" s="50">
        <v>6</v>
      </c>
      <c r="C20" s="105" t="str">
        <f>'Chart of Accounts'!B10</f>
        <v>Accounts Payable</v>
      </c>
      <c r="D20" s="51"/>
      <c r="E20" s="108">
        <f>425000</f>
        <v>425000</v>
      </c>
      <c r="F20" s="57"/>
    </row>
    <row r="21" spans="2:6" ht="14.4" thickBot="1" x14ac:dyDescent="0.3">
      <c r="B21" s="46"/>
      <c r="C21" s="39"/>
      <c r="D21" s="107" t="str">
        <f>'Chart of Accounts'!B3</f>
        <v>Cash</v>
      </c>
      <c r="E21" s="40"/>
      <c r="F21" s="110">
        <f>425000</f>
        <v>425000</v>
      </c>
    </row>
    <row r="22" spans="2:6" ht="14.4" thickBot="1" x14ac:dyDescent="0.3">
      <c r="B22" s="97"/>
      <c r="C22" s="62"/>
      <c r="D22" s="62"/>
      <c r="E22" s="63"/>
      <c r="F22" s="64"/>
    </row>
    <row r="23" spans="2:6" x14ac:dyDescent="0.25">
      <c r="B23" s="50">
        <v>7</v>
      </c>
      <c r="C23" s="105" t="str">
        <f>'Chart of Accounts'!B24</f>
        <v>Interest Expense</v>
      </c>
      <c r="D23" s="51"/>
      <c r="E23" s="108">
        <f>20000*0.09*3/12</f>
        <v>450</v>
      </c>
      <c r="F23" s="57"/>
    </row>
    <row r="24" spans="2:6" ht="14.4" thickBot="1" x14ac:dyDescent="0.3">
      <c r="B24" s="46"/>
      <c r="C24" s="39"/>
      <c r="D24" s="107" t="str">
        <f>'Chart of Accounts'!B12</f>
        <v>Interest Payable</v>
      </c>
      <c r="E24" s="40"/>
      <c r="F24" s="110">
        <f>E23</f>
        <v>450</v>
      </c>
    </row>
    <row r="25" spans="2:6" ht="14.4" thickBot="1" x14ac:dyDescent="0.3">
      <c r="B25" s="41"/>
      <c r="C25" s="42"/>
      <c r="D25" s="42"/>
      <c r="E25" s="43"/>
      <c r="F25" s="44"/>
    </row>
    <row r="26" spans="2:6" x14ac:dyDescent="0.25">
      <c r="B26" s="50">
        <v>8</v>
      </c>
      <c r="C26" s="105" t="str">
        <f>'Chart of Accounts'!B13</f>
        <v>Notes Payable</v>
      </c>
      <c r="D26" s="51"/>
      <c r="E26" s="108">
        <f>'Beginning Balance Sheet'!D22</f>
        <v>20000</v>
      </c>
      <c r="F26" s="57"/>
    </row>
    <row r="27" spans="2:6" x14ac:dyDescent="0.25">
      <c r="B27" s="41"/>
      <c r="C27" s="106" t="str">
        <f>'Chart of Accounts'!B12</f>
        <v>Interest Payable</v>
      </c>
      <c r="D27" s="36"/>
      <c r="E27" s="109">
        <f>F24</f>
        <v>450</v>
      </c>
      <c r="F27" s="38"/>
    </row>
    <row r="28" spans="2:6" x14ac:dyDescent="0.25">
      <c r="B28" s="41"/>
      <c r="C28" s="106" t="str">
        <f>'Chart of Accounts'!B24</f>
        <v>Interest Expense</v>
      </c>
      <c r="D28" s="36"/>
      <c r="E28" s="109">
        <f>E27*2</f>
        <v>900</v>
      </c>
      <c r="F28" s="38"/>
    </row>
    <row r="29" spans="2:6" ht="14.4" thickBot="1" x14ac:dyDescent="0.3">
      <c r="B29" s="46"/>
      <c r="C29" s="39"/>
      <c r="D29" s="107" t="str">
        <f>'Chart of Accounts'!B3</f>
        <v>Cash</v>
      </c>
      <c r="E29" s="40"/>
      <c r="F29" s="110">
        <f>E26+E27+E28</f>
        <v>21350</v>
      </c>
    </row>
    <row r="30" spans="2:6" ht="14.4" thickBot="1" x14ac:dyDescent="0.3">
      <c r="B30" s="41"/>
      <c r="C30" s="42"/>
      <c r="D30" s="42"/>
      <c r="E30" s="43"/>
      <c r="F30" s="44"/>
    </row>
    <row r="31" spans="2:6" x14ac:dyDescent="0.25">
      <c r="B31" s="50">
        <v>9</v>
      </c>
      <c r="C31" s="105" t="str">
        <f>'Chart of Accounts'!B23</f>
        <v>Rent Expense</v>
      </c>
      <c r="D31" s="51"/>
      <c r="E31" s="108">
        <f>7500</f>
        <v>7500</v>
      </c>
      <c r="F31" s="57"/>
    </row>
    <row r="32" spans="2:6" ht="14.4" thickBot="1" x14ac:dyDescent="0.3">
      <c r="B32" s="46"/>
      <c r="C32" s="39"/>
      <c r="D32" s="107" t="str">
        <f>'Chart of Accounts'!B6</f>
        <v>Prepaid Rent</v>
      </c>
      <c r="E32" s="40"/>
      <c r="F32" s="110">
        <f>E31</f>
        <v>7500</v>
      </c>
    </row>
    <row r="33" spans="2:6" ht="14.4" thickBot="1" x14ac:dyDescent="0.3">
      <c r="B33" s="41"/>
      <c r="C33" s="42"/>
      <c r="D33" s="42"/>
      <c r="E33" s="43"/>
      <c r="F33" s="44"/>
    </row>
    <row r="34" spans="2:6" x14ac:dyDescent="0.25">
      <c r="B34" s="50">
        <v>10</v>
      </c>
      <c r="C34" s="105" t="str">
        <f>'Chart of Accounts'!B6</f>
        <v>Prepaid Rent</v>
      </c>
      <c r="D34" s="51"/>
      <c r="E34" s="108">
        <f>15000</f>
        <v>15000</v>
      </c>
      <c r="F34" s="57"/>
    </row>
    <row r="35" spans="2:6" ht="14.4" thickBot="1" x14ac:dyDescent="0.3">
      <c r="B35" s="46"/>
      <c r="C35" s="39"/>
      <c r="D35" s="107" t="str">
        <f>'Chart of Accounts'!B3</f>
        <v>Cash</v>
      </c>
      <c r="E35" s="40"/>
      <c r="F35" s="110">
        <f>15000</f>
        <v>15000</v>
      </c>
    </row>
    <row r="36" spans="2:6" ht="14.4" thickBot="1" x14ac:dyDescent="0.3">
      <c r="B36" s="41"/>
      <c r="C36" s="42"/>
      <c r="D36" s="42"/>
      <c r="E36" s="43"/>
      <c r="F36" s="44"/>
    </row>
    <row r="37" spans="2:6" x14ac:dyDescent="0.25">
      <c r="B37" s="50">
        <v>11</v>
      </c>
      <c r="C37" s="105" t="str">
        <f>'Chart of Accounts'!B11</f>
        <v>Wages Payable</v>
      </c>
      <c r="D37" s="51"/>
      <c r="E37" s="108">
        <f>'Beginning Balance Sheet'!D20</f>
        <v>10100</v>
      </c>
      <c r="F37" s="57"/>
    </row>
    <row r="38" spans="2:6" x14ac:dyDescent="0.25">
      <c r="B38" s="41"/>
      <c r="C38" s="106" t="str">
        <f>'Chart of Accounts'!B21</f>
        <v>Wage Expense</v>
      </c>
      <c r="D38" s="36"/>
      <c r="E38" s="109">
        <f>F39-E37</f>
        <v>111900</v>
      </c>
      <c r="F38" s="38"/>
    </row>
    <row r="39" spans="2:6" ht="14.4" thickBot="1" x14ac:dyDescent="0.3">
      <c r="B39" s="46"/>
      <c r="C39" s="39"/>
      <c r="D39" s="107" t="str">
        <f>'Beginning Balance Sheet'!B6</f>
        <v>Cash</v>
      </c>
      <c r="E39" s="40"/>
      <c r="F39" s="110">
        <v>122000</v>
      </c>
    </row>
    <row r="40" spans="2:6" ht="14.4" thickBot="1" x14ac:dyDescent="0.3">
      <c r="B40" s="41"/>
      <c r="C40" s="42"/>
      <c r="D40" s="42"/>
      <c r="E40" s="43"/>
      <c r="F40" s="44"/>
    </row>
    <row r="41" spans="2:6" x14ac:dyDescent="0.25">
      <c r="B41" s="50">
        <v>12</v>
      </c>
      <c r="C41" s="105" t="str">
        <f>'Chart of Accounts'!B22</f>
        <v>Insurance Expense</v>
      </c>
      <c r="D41" s="51"/>
      <c r="E41" s="108">
        <f>'Beginning Balance Sheet'!D9</f>
        <v>2240</v>
      </c>
      <c r="F41" s="57"/>
    </row>
    <row r="42" spans="2:6" ht="14.4" thickBot="1" x14ac:dyDescent="0.3">
      <c r="B42" s="46"/>
      <c r="C42" s="39"/>
      <c r="D42" s="107" t="str">
        <f>'Chart of Accounts'!B5</f>
        <v>Prepaid Insurance</v>
      </c>
      <c r="E42" s="40"/>
      <c r="F42" s="110">
        <f>E41</f>
        <v>2240</v>
      </c>
    </row>
    <row r="43" spans="2:6" ht="14.4" thickBot="1" x14ac:dyDescent="0.3">
      <c r="B43" s="41"/>
      <c r="C43" s="42"/>
      <c r="D43" s="42"/>
      <c r="E43" s="43"/>
      <c r="F43" s="44"/>
    </row>
    <row r="44" spans="2:6" x14ac:dyDescent="0.25">
      <c r="B44" s="50">
        <v>13</v>
      </c>
      <c r="C44" s="105" t="str">
        <f>'Chart of Accounts'!B5</f>
        <v>Prepaid Insurance</v>
      </c>
      <c r="D44" s="51"/>
      <c r="E44" s="108">
        <f>4680</f>
        <v>4680</v>
      </c>
      <c r="F44" s="57"/>
    </row>
    <row r="45" spans="2:6" ht="14.4" thickBot="1" x14ac:dyDescent="0.3">
      <c r="B45" s="46"/>
      <c r="C45" s="39"/>
      <c r="D45" s="107" t="str">
        <f>'Chart of Accounts'!B3</f>
        <v>Cash</v>
      </c>
      <c r="E45" s="40"/>
      <c r="F45" s="110">
        <f>4680</f>
        <v>4680</v>
      </c>
    </row>
    <row r="46" spans="2:6" ht="14.4" thickBot="1" x14ac:dyDescent="0.3">
      <c r="B46" s="41"/>
      <c r="C46" s="42"/>
      <c r="D46" s="42"/>
      <c r="E46" s="43"/>
      <c r="F46" s="44"/>
    </row>
    <row r="47" spans="2:6" x14ac:dyDescent="0.25">
      <c r="B47" s="50">
        <v>14</v>
      </c>
      <c r="C47" s="105" t="str">
        <f>'Chart of Accounts'!B26</f>
        <v>Utility Expense</v>
      </c>
      <c r="D47" s="51"/>
      <c r="E47" s="108">
        <f>350*5</f>
        <v>1750</v>
      </c>
      <c r="F47" s="57"/>
    </row>
    <row r="48" spans="2:6" ht="14.4" thickBot="1" x14ac:dyDescent="0.3">
      <c r="B48" s="46"/>
      <c r="C48" s="39"/>
      <c r="D48" s="107" t="str">
        <f>'Chart of Accounts'!B3</f>
        <v>Cash</v>
      </c>
      <c r="E48" s="40"/>
      <c r="F48" s="110">
        <f>E47</f>
        <v>1750</v>
      </c>
    </row>
    <row r="49" spans="2:6" x14ac:dyDescent="0.25">
      <c r="B49" s="50"/>
      <c r="C49" s="52"/>
      <c r="D49" s="52"/>
      <c r="E49" s="59"/>
      <c r="F49" s="54"/>
    </row>
    <row r="50" spans="2:6" ht="14.4" thickBot="1" x14ac:dyDescent="0.3">
      <c r="B50" s="60" t="s">
        <v>23</v>
      </c>
      <c r="C50" s="55"/>
      <c r="D50" s="55"/>
      <c r="E50" s="56"/>
      <c r="F50" s="61"/>
    </row>
    <row r="51" spans="2:6" x14ac:dyDescent="0.25">
      <c r="B51" s="50">
        <v>1</v>
      </c>
      <c r="C51" s="105" t="str">
        <f>'Chart of Accounts'!B7</f>
        <v>Merchandise Inventory</v>
      </c>
      <c r="D51" s="51"/>
      <c r="E51" s="108">
        <f>F54+F55-E53-E52</f>
        <v>178800</v>
      </c>
      <c r="F51" s="57"/>
    </row>
    <row r="52" spans="2:6" x14ac:dyDescent="0.25">
      <c r="B52" s="41"/>
      <c r="C52" s="106" t="str">
        <f>'Chart of Accounts'!B19</f>
        <v>Purchase Returns</v>
      </c>
      <c r="D52" s="36"/>
      <c r="E52" s="109">
        <f>F18</f>
        <v>8640</v>
      </c>
      <c r="F52" s="38"/>
    </row>
    <row r="53" spans="2:6" x14ac:dyDescent="0.25">
      <c r="B53" s="41"/>
      <c r="C53" s="106" t="str">
        <f>'Chart of Accounts'!B20</f>
        <v>Cost of Goods Sold</v>
      </c>
      <c r="D53" s="36"/>
      <c r="E53" s="109">
        <v>372360</v>
      </c>
      <c r="F53" s="38"/>
    </row>
    <row r="54" spans="2:6" x14ac:dyDescent="0.25">
      <c r="B54" s="41"/>
      <c r="C54" s="36"/>
      <c r="D54" s="106" t="str">
        <f>'Chart of Accounts'!B18</f>
        <v>Purchases</v>
      </c>
      <c r="E54" s="37"/>
      <c r="F54" s="111">
        <f>'Journal Entries'!E14</f>
        <v>525300</v>
      </c>
    </row>
    <row r="55" spans="2:6" ht="14.4" thickBot="1" x14ac:dyDescent="0.3">
      <c r="B55" s="46"/>
      <c r="C55" s="39"/>
      <c r="D55" s="107" t="str">
        <f>'Chart of Accounts'!B7</f>
        <v>Merchandise Inventory</v>
      </c>
      <c r="E55" s="40"/>
      <c r="F55" s="110">
        <f>'Beginning Balance Sheet'!D10</f>
        <v>34500</v>
      </c>
    </row>
    <row r="56" spans="2:6" ht="14.4" thickBot="1" x14ac:dyDescent="0.3">
      <c r="B56" s="41"/>
      <c r="C56" s="58"/>
      <c r="D56" s="42"/>
      <c r="E56" s="43"/>
      <c r="F56" s="44"/>
    </row>
    <row r="57" spans="2:6" x14ac:dyDescent="0.25">
      <c r="B57" s="50">
        <v>2</v>
      </c>
      <c r="C57" s="105" t="str">
        <f>'Chart of Accounts'!B23</f>
        <v>Rent Expense</v>
      </c>
      <c r="D57" s="51"/>
      <c r="E57" s="108">
        <f>F58</f>
        <v>7500</v>
      </c>
      <c r="F57" s="57"/>
    </row>
    <row r="58" spans="2:6" ht="14.4" thickBot="1" x14ac:dyDescent="0.3">
      <c r="B58" s="46"/>
      <c r="C58" s="39"/>
      <c r="D58" s="107" t="str">
        <f>'Chart of Accounts'!B6</f>
        <v>Prepaid Rent</v>
      </c>
      <c r="E58" s="40"/>
      <c r="F58" s="112">
        <f>F32</f>
        <v>7500</v>
      </c>
    </row>
    <row r="59" spans="2:6" ht="14.4" thickBot="1" x14ac:dyDescent="0.3">
      <c r="B59" s="41"/>
      <c r="C59" s="42"/>
      <c r="D59" s="42"/>
      <c r="E59" s="43"/>
      <c r="F59" s="44"/>
    </row>
    <row r="60" spans="2:6" x14ac:dyDescent="0.25">
      <c r="B60" s="50">
        <v>3</v>
      </c>
      <c r="C60" s="105" t="str">
        <f>'Chart of Accounts'!B11</f>
        <v>Wages Payable</v>
      </c>
      <c r="D60" s="51"/>
      <c r="E60" s="108">
        <f>1300</f>
        <v>1300</v>
      </c>
      <c r="F60" s="57"/>
    </row>
    <row r="61" spans="2:6" ht="14.4" thickBot="1" x14ac:dyDescent="0.3">
      <c r="B61" s="46"/>
      <c r="C61" s="39"/>
      <c r="D61" s="107" t="str">
        <f>'Chart of Accounts'!B3</f>
        <v>Cash</v>
      </c>
      <c r="E61" s="40"/>
      <c r="F61" s="110">
        <f>1300</f>
        <v>1300</v>
      </c>
    </row>
    <row r="62" spans="2:6" ht="14.4" thickBot="1" x14ac:dyDescent="0.3">
      <c r="B62" s="41"/>
      <c r="C62" s="42"/>
      <c r="D62" s="42"/>
      <c r="E62" s="43"/>
      <c r="F62" s="44"/>
    </row>
    <row r="63" spans="2:6" x14ac:dyDescent="0.25">
      <c r="B63" s="50">
        <v>4</v>
      </c>
      <c r="C63" s="105" t="str">
        <f>'Chart of Accounts'!B22</f>
        <v>Insurance Expense</v>
      </c>
      <c r="D63" s="51"/>
      <c r="E63" s="108">
        <f>4680/18*4</f>
        <v>1040</v>
      </c>
      <c r="F63" s="57"/>
    </row>
    <row r="64" spans="2:6" ht="14.4" thickBot="1" x14ac:dyDescent="0.3">
      <c r="B64" s="46"/>
      <c r="C64" s="39"/>
      <c r="D64" s="107" t="str">
        <f>'Chart of Accounts'!B5</f>
        <v>Prepaid Insurance</v>
      </c>
      <c r="E64" s="40"/>
      <c r="F64" s="110">
        <f>E63</f>
        <v>1040</v>
      </c>
    </row>
    <row r="65" spans="2:6" ht="14.4" thickBot="1" x14ac:dyDescent="0.3">
      <c r="B65" s="41"/>
      <c r="C65" s="42"/>
      <c r="D65" s="42"/>
      <c r="E65" s="43"/>
      <c r="F65" s="44"/>
    </row>
    <row r="66" spans="2:6" x14ac:dyDescent="0.25">
      <c r="B66" s="50">
        <v>5</v>
      </c>
      <c r="C66" s="105" t="str">
        <f>'Chart of Accounts'!B25</f>
        <v>Depreciation Expense</v>
      </c>
      <c r="D66" s="51"/>
      <c r="E66" s="108">
        <f>('Beginning Balance Sheet'!C13-1000*4)/15</f>
        <v>5066.666666666667</v>
      </c>
      <c r="F66" s="57"/>
    </row>
    <row r="67" spans="2:6" ht="14.4" thickBot="1" x14ac:dyDescent="0.3">
      <c r="B67" s="46"/>
      <c r="C67" s="39"/>
      <c r="D67" s="107" t="str">
        <f>'Chart of Accounts'!B9</f>
        <v xml:space="preserve">Accumulated Depreciation </v>
      </c>
      <c r="E67" s="40"/>
      <c r="F67" s="110">
        <f>E66</f>
        <v>5066.666666666667</v>
      </c>
    </row>
    <row r="68" spans="2:6" x14ac:dyDescent="0.25">
      <c r="B68" s="33"/>
      <c r="C68" s="34"/>
      <c r="D68" s="34"/>
      <c r="E68" s="35"/>
      <c r="F68" s="3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1"/>
  <sheetViews>
    <sheetView topLeftCell="A31" workbookViewId="0">
      <selection activeCell="G56" sqref="G56"/>
    </sheetView>
  </sheetViews>
  <sheetFormatPr defaultColWidth="9.109375" defaultRowHeight="13.8" x14ac:dyDescent="0.25"/>
  <cols>
    <col min="1" max="1" width="4" style="5" customWidth="1"/>
    <col min="2" max="2" width="9.109375" style="5"/>
    <col min="3" max="3" width="12.44140625" style="16" customWidth="1"/>
    <col min="4" max="4" width="12.44140625" style="84" customWidth="1"/>
    <col min="5" max="6" width="9.109375" style="5"/>
    <col min="7" max="7" width="13.109375" style="15" customWidth="1"/>
    <col min="8" max="8" width="13.109375" style="84" customWidth="1"/>
    <col min="9" max="9" width="11.33203125" style="5" customWidth="1"/>
    <col min="10" max="10" width="9.109375" style="5"/>
    <col min="11" max="11" width="14" style="15" customWidth="1"/>
    <col min="12" max="12" width="14" style="84" customWidth="1"/>
    <col min="13" max="16384" width="9.109375" style="5"/>
  </cols>
  <sheetData>
    <row r="1" spans="2:13" ht="14.4" thickBot="1" x14ac:dyDescent="0.3"/>
    <row r="2" spans="2:13" ht="14.4" thickBot="1" x14ac:dyDescent="0.3">
      <c r="B2" s="150" t="s">
        <v>46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</row>
    <row r="3" spans="2:13" s="8" customFormat="1" x14ac:dyDescent="0.25">
      <c r="B3" s="147" t="s">
        <v>0</v>
      </c>
      <c r="C3" s="148"/>
      <c r="D3" s="148"/>
      <c r="E3" s="149"/>
      <c r="F3" s="147" t="s">
        <v>1</v>
      </c>
      <c r="G3" s="148"/>
      <c r="H3" s="148"/>
      <c r="I3" s="149"/>
      <c r="J3" s="147" t="s">
        <v>42</v>
      </c>
      <c r="K3" s="148"/>
      <c r="L3" s="148"/>
      <c r="M3" s="149"/>
    </row>
    <row r="4" spans="2:13" x14ac:dyDescent="0.25">
      <c r="B4" s="9" t="s">
        <v>47</v>
      </c>
      <c r="C4" s="113">
        <f>'Beginning Balance Sheet'!D6</f>
        <v>32000</v>
      </c>
      <c r="D4" s="93"/>
      <c r="E4" s="11"/>
      <c r="F4" s="9" t="s">
        <v>47</v>
      </c>
      <c r="G4" s="113">
        <f>'Journal Entries'!E4</f>
        <v>248000</v>
      </c>
      <c r="H4" s="93"/>
      <c r="I4" s="11"/>
      <c r="J4" s="9" t="s">
        <v>47</v>
      </c>
      <c r="K4" s="113">
        <f>'Beginning Balance Sheet'!D8</f>
        <v>7500</v>
      </c>
      <c r="L4" s="93"/>
      <c r="M4" s="11"/>
    </row>
    <row r="5" spans="2:13" x14ac:dyDescent="0.25">
      <c r="B5" s="9"/>
      <c r="C5" s="113">
        <f>'Journal Entries'!E3</f>
        <v>744000</v>
      </c>
      <c r="D5" s="114">
        <f>'Journal Entries'!F8</f>
        <v>36000</v>
      </c>
      <c r="E5" s="11"/>
      <c r="F5" s="9"/>
      <c r="G5" s="113">
        <f>'Beginning Balance Sheet'!D7</f>
        <v>42000</v>
      </c>
      <c r="H5" s="114">
        <f>'Journal Entries'!F9</f>
        <v>12000</v>
      </c>
      <c r="I5" s="11"/>
      <c r="J5" s="9"/>
      <c r="K5" s="113">
        <f>'Journal Entries'!E34</f>
        <v>15000</v>
      </c>
      <c r="L5" s="114">
        <f>'Journal Entries'!F32</f>
        <v>7500</v>
      </c>
      <c r="M5" s="11"/>
    </row>
    <row r="6" spans="2:13" x14ac:dyDescent="0.25">
      <c r="B6" s="9"/>
      <c r="C6" s="113">
        <f>'Journal Entries'!F12</f>
        <v>197500</v>
      </c>
      <c r="D6" s="114">
        <f>'Journal Entries'!F21</f>
        <v>425000</v>
      </c>
      <c r="E6" s="11"/>
      <c r="F6" s="9"/>
      <c r="G6" s="16"/>
      <c r="H6" s="114">
        <f>'Journal Entries'!F12</f>
        <v>197500</v>
      </c>
      <c r="I6" s="11"/>
      <c r="J6" s="9"/>
      <c r="L6" s="114">
        <f>'Journal Entries'!F58</f>
        <v>7500</v>
      </c>
      <c r="M6" s="11"/>
    </row>
    <row r="7" spans="2:13" x14ac:dyDescent="0.25">
      <c r="B7" s="9"/>
      <c r="D7" s="114">
        <f>'Journal Entries'!F29</f>
        <v>21350</v>
      </c>
      <c r="E7" s="11"/>
      <c r="F7" s="9"/>
      <c r="G7" s="16"/>
      <c r="H7" s="85"/>
      <c r="I7" s="11"/>
      <c r="J7" s="9"/>
      <c r="K7" s="16"/>
      <c r="L7" s="85"/>
      <c r="M7" s="11"/>
    </row>
    <row r="8" spans="2:13" x14ac:dyDescent="0.25">
      <c r="B8" s="9"/>
      <c r="D8" s="114">
        <f>'Journal Entries'!F35</f>
        <v>15000</v>
      </c>
      <c r="E8" s="11"/>
      <c r="F8" s="9"/>
      <c r="G8" s="16"/>
      <c r="H8" s="85"/>
      <c r="I8" s="11"/>
      <c r="J8" s="9"/>
      <c r="K8" s="16"/>
      <c r="L8" s="85"/>
      <c r="M8" s="11"/>
    </row>
    <row r="9" spans="2:13" x14ac:dyDescent="0.25">
      <c r="B9" s="9"/>
      <c r="D9" s="114">
        <f>'Journal Entries'!F39</f>
        <v>122000</v>
      </c>
      <c r="E9" s="11"/>
      <c r="F9" s="9"/>
      <c r="G9" s="16"/>
      <c r="H9" s="85"/>
      <c r="I9" s="11"/>
      <c r="J9" s="9"/>
      <c r="K9" s="16"/>
      <c r="L9" s="85"/>
      <c r="M9" s="11"/>
    </row>
    <row r="10" spans="2:13" x14ac:dyDescent="0.25">
      <c r="B10" s="9"/>
      <c r="D10" s="114">
        <f>'Journal Entries'!F45</f>
        <v>4680</v>
      </c>
      <c r="E10" s="11"/>
      <c r="F10" s="9"/>
      <c r="G10" s="16"/>
      <c r="H10" s="85"/>
      <c r="I10" s="11"/>
      <c r="J10" s="9"/>
      <c r="K10" s="16"/>
      <c r="L10" s="85"/>
      <c r="M10" s="11"/>
    </row>
    <row r="11" spans="2:13" x14ac:dyDescent="0.25">
      <c r="B11" s="9"/>
      <c r="C11" s="18"/>
      <c r="D11" s="115">
        <f>'Journal Entries'!F48</f>
        <v>1750</v>
      </c>
      <c r="E11" s="11"/>
      <c r="F11" s="9"/>
      <c r="G11" s="18"/>
      <c r="H11" s="86"/>
      <c r="I11" s="11"/>
      <c r="J11" s="9"/>
      <c r="K11" s="18"/>
      <c r="L11" s="86"/>
      <c r="M11" s="11"/>
    </row>
    <row r="12" spans="2:13" ht="14.4" thickBot="1" x14ac:dyDescent="0.3">
      <c r="B12" s="13" t="s">
        <v>50</v>
      </c>
      <c r="C12" s="116">
        <f>C4+C5+C6-D5-D6-D7-D8-D9-D10-D11</f>
        <v>347720</v>
      </c>
      <c r="D12" s="87"/>
      <c r="E12" s="71"/>
      <c r="F12" s="13" t="s">
        <v>50</v>
      </c>
      <c r="G12" s="116">
        <f>G4+G5-H5-H6</f>
        <v>80500</v>
      </c>
      <c r="H12" s="87"/>
      <c r="I12" s="71"/>
      <c r="J12" s="13" t="s">
        <v>50</v>
      </c>
      <c r="K12" s="116">
        <f>K4+K5-L5-L6</f>
        <v>7500</v>
      </c>
      <c r="L12" s="87"/>
      <c r="M12" s="71"/>
    </row>
    <row r="13" spans="2:13" ht="14.4" thickBot="1" x14ac:dyDescent="0.3">
      <c r="B13" s="72"/>
      <c r="C13" s="81"/>
      <c r="D13" s="88"/>
      <c r="E13" s="42"/>
      <c r="F13" s="42"/>
      <c r="G13" s="81"/>
      <c r="H13" s="88"/>
      <c r="I13" s="42"/>
      <c r="J13" s="42"/>
      <c r="K13" s="81"/>
      <c r="L13" s="88"/>
      <c r="M13" s="73"/>
    </row>
    <row r="14" spans="2:13" s="8" customFormat="1" x14ac:dyDescent="0.25">
      <c r="B14" s="147" t="s">
        <v>8</v>
      </c>
      <c r="C14" s="148"/>
      <c r="D14" s="148"/>
      <c r="E14" s="149"/>
      <c r="F14" s="147" t="s">
        <v>2</v>
      </c>
      <c r="G14" s="148"/>
      <c r="H14" s="148"/>
      <c r="I14" s="149"/>
      <c r="J14" s="147" t="s">
        <v>44</v>
      </c>
      <c r="K14" s="148"/>
      <c r="L14" s="148"/>
      <c r="M14" s="149"/>
    </row>
    <row r="15" spans="2:13" x14ac:dyDescent="0.25">
      <c r="B15" s="9" t="s">
        <v>47</v>
      </c>
      <c r="C15" s="113">
        <f>'Beginning Balance Sheet'!D9</f>
        <v>2240</v>
      </c>
      <c r="D15" s="85"/>
      <c r="E15" s="11"/>
      <c r="F15" s="9" t="s">
        <v>47</v>
      </c>
      <c r="G15" s="113">
        <f>'Beginning Balance Sheet'!D10</f>
        <v>34500</v>
      </c>
      <c r="H15" s="85"/>
      <c r="I15" s="11"/>
      <c r="J15" s="9" t="s">
        <v>47</v>
      </c>
      <c r="K15" s="113">
        <f>'Beginning Balance Sheet'!C13</f>
        <v>80000</v>
      </c>
      <c r="L15" s="85"/>
      <c r="M15" s="11"/>
    </row>
    <row r="16" spans="2:13" x14ac:dyDescent="0.25">
      <c r="B16" s="9"/>
      <c r="C16" s="113">
        <f>'Journal Entries'!E44</f>
        <v>4680</v>
      </c>
      <c r="D16" s="114">
        <f>'Journal Entries'!F42</f>
        <v>2240</v>
      </c>
      <c r="E16" s="11"/>
      <c r="F16" s="9"/>
      <c r="G16" s="113">
        <f>'Journal Entries'!E51</f>
        <v>178800</v>
      </c>
      <c r="H16" s="114">
        <f>'Journal Entries'!F55</f>
        <v>34500</v>
      </c>
      <c r="I16" s="11"/>
      <c r="J16" s="9"/>
      <c r="K16" s="16"/>
      <c r="L16" s="85"/>
      <c r="M16" s="11"/>
    </row>
    <row r="17" spans="2:13" x14ac:dyDescent="0.25">
      <c r="B17" s="9"/>
      <c r="C17" s="18"/>
      <c r="D17" s="115">
        <f>'Journal Entries'!F64</f>
        <v>1040</v>
      </c>
      <c r="E17" s="11"/>
      <c r="F17" s="9"/>
      <c r="G17" s="18"/>
      <c r="H17" s="86"/>
      <c r="I17" s="11"/>
      <c r="J17" s="9"/>
      <c r="K17" s="18"/>
      <c r="L17" s="86"/>
      <c r="M17" s="11"/>
    </row>
    <row r="18" spans="2:13" ht="14.4" thickBot="1" x14ac:dyDescent="0.3">
      <c r="B18" s="13" t="s">
        <v>50</v>
      </c>
      <c r="C18" s="116">
        <f>C15+C16-D16-D17</f>
        <v>3640</v>
      </c>
      <c r="D18" s="87"/>
      <c r="E18" s="71"/>
      <c r="F18" s="13" t="s">
        <v>50</v>
      </c>
      <c r="G18" s="116">
        <f>G15+G16-H16</f>
        <v>178800</v>
      </c>
      <c r="H18" s="87"/>
      <c r="I18" s="71"/>
      <c r="J18" s="13" t="s">
        <v>50</v>
      </c>
      <c r="K18" s="116">
        <f>'Beginning Balance Sheet'!C13</f>
        <v>80000</v>
      </c>
      <c r="L18" s="87"/>
      <c r="M18" s="71"/>
    </row>
    <row r="19" spans="2:13" ht="14.4" thickBot="1" x14ac:dyDescent="0.3">
      <c r="B19" s="72"/>
      <c r="C19" s="81"/>
      <c r="D19" s="88"/>
      <c r="E19" s="42"/>
      <c r="F19" s="42"/>
      <c r="G19" s="81"/>
      <c r="H19" s="88"/>
      <c r="I19" s="42"/>
      <c r="J19" s="42"/>
      <c r="K19" s="81"/>
      <c r="L19" s="88"/>
      <c r="M19" s="73"/>
    </row>
    <row r="20" spans="2:13" s="8" customFormat="1" x14ac:dyDescent="0.25">
      <c r="B20" s="147" t="s">
        <v>48</v>
      </c>
      <c r="C20" s="148"/>
      <c r="D20" s="148"/>
      <c r="E20" s="149"/>
      <c r="F20" s="147" t="s">
        <v>4</v>
      </c>
      <c r="G20" s="148"/>
      <c r="H20" s="148"/>
      <c r="I20" s="149"/>
      <c r="J20" s="147" t="s">
        <v>5</v>
      </c>
      <c r="K20" s="148"/>
      <c r="L20" s="148"/>
      <c r="M20" s="149"/>
    </row>
    <row r="21" spans="2:13" x14ac:dyDescent="0.25">
      <c r="B21" s="9"/>
      <c r="D21" s="117">
        <f>'Beginning Balance Sheet'!C14</f>
        <v>24000</v>
      </c>
      <c r="E21" s="11" t="s">
        <v>47</v>
      </c>
      <c r="F21" s="9"/>
      <c r="G21" s="16"/>
      <c r="H21" s="117">
        <f>'Beginning Balance Sheet'!D19</f>
        <v>77000</v>
      </c>
      <c r="I21" s="11" t="s">
        <v>47</v>
      </c>
      <c r="J21" s="9"/>
      <c r="K21" s="16"/>
      <c r="L21" s="117">
        <f>'Beginning Balance Sheet'!D20</f>
        <v>10100</v>
      </c>
      <c r="M21" s="11" t="s">
        <v>47</v>
      </c>
    </row>
    <row r="22" spans="2:13" x14ac:dyDescent="0.25">
      <c r="B22" s="9"/>
      <c r="D22" s="114">
        <f>'Journal Entries'!F67</f>
        <v>5066.666666666667</v>
      </c>
      <c r="E22" s="11"/>
      <c r="F22" s="9"/>
      <c r="G22" s="113">
        <f>'Journal Entries'!E17</f>
        <v>8640</v>
      </c>
      <c r="H22" s="114">
        <f>'Journal Entries'!F15</f>
        <v>525300</v>
      </c>
      <c r="I22" s="11"/>
      <c r="J22" s="9"/>
      <c r="K22" s="113">
        <f>'Journal Entries'!E37</f>
        <v>10100</v>
      </c>
      <c r="L22" s="114">
        <f>'Journal Entries'!E60</f>
        <v>1300</v>
      </c>
      <c r="M22" s="11"/>
    </row>
    <row r="23" spans="2:13" x14ac:dyDescent="0.25">
      <c r="B23" s="9"/>
      <c r="C23" s="18"/>
      <c r="D23" s="86"/>
      <c r="E23" s="11"/>
      <c r="F23" s="9"/>
      <c r="G23" s="119">
        <f>'Journal Entries'!E20</f>
        <v>425000</v>
      </c>
      <c r="H23" s="86"/>
      <c r="I23" s="11"/>
      <c r="J23" s="9"/>
      <c r="K23" s="18"/>
      <c r="L23" s="86"/>
      <c r="M23" s="11"/>
    </row>
    <row r="24" spans="2:13" ht="14.4" thickBot="1" x14ac:dyDescent="0.3">
      <c r="B24" s="13"/>
      <c r="C24" s="23"/>
      <c r="D24" s="118">
        <f>D21+D22</f>
        <v>29066.666666666668</v>
      </c>
      <c r="E24" s="71" t="s">
        <v>50</v>
      </c>
      <c r="F24" s="13"/>
      <c r="G24" s="23"/>
      <c r="H24" s="118">
        <f>H21+H22-G22-G23</f>
        <v>168660</v>
      </c>
      <c r="I24" s="71" t="s">
        <v>50</v>
      </c>
      <c r="J24" s="13"/>
      <c r="K24" s="23"/>
      <c r="L24" s="118">
        <f>L21+L22-K22</f>
        <v>1300</v>
      </c>
      <c r="M24" s="71" t="s">
        <v>50</v>
      </c>
    </row>
    <row r="25" spans="2:13" ht="14.4" thickBot="1" x14ac:dyDescent="0.3">
      <c r="B25" s="72"/>
      <c r="C25" s="81"/>
      <c r="D25" s="88"/>
      <c r="E25" s="42"/>
      <c r="F25" s="42"/>
      <c r="G25" s="81"/>
      <c r="H25" s="88"/>
      <c r="I25" s="42"/>
      <c r="J25" s="42"/>
      <c r="K25" s="81"/>
      <c r="L25" s="88"/>
      <c r="M25" s="73"/>
    </row>
    <row r="26" spans="2:13" s="8" customFormat="1" x14ac:dyDescent="0.25">
      <c r="B26" s="147" t="s">
        <v>6</v>
      </c>
      <c r="C26" s="148"/>
      <c r="D26" s="148"/>
      <c r="E26" s="149"/>
      <c r="F26" s="147" t="s">
        <v>10</v>
      </c>
      <c r="G26" s="148"/>
      <c r="H26" s="148"/>
      <c r="I26" s="149"/>
      <c r="J26" s="144" t="s">
        <v>28</v>
      </c>
      <c r="K26" s="145"/>
      <c r="L26" s="145"/>
      <c r="M26" s="146"/>
    </row>
    <row r="27" spans="2:13" x14ac:dyDescent="0.25">
      <c r="B27" s="9"/>
      <c r="D27" s="114">
        <f>'Beginning Balance Sheet'!D21</f>
        <v>0</v>
      </c>
      <c r="E27" s="11" t="s">
        <v>47</v>
      </c>
      <c r="F27" s="9"/>
      <c r="G27" s="16"/>
      <c r="H27" s="114">
        <f>'Beginning Balance Sheet'!D22</f>
        <v>20000</v>
      </c>
      <c r="I27" s="11" t="s">
        <v>47</v>
      </c>
      <c r="J27" s="74"/>
      <c r="K27" s="82"/>
      <c r="L27" s="114">
        <f>'Beginning Balance Sheet'!D25</f>
        <v>67140</v>
      </c>
      <c r="M27" s="66" t="s">
        <v>47</v>
      </c>
    </row>
    <row r="28" spans="2:13" x14ac:dyDescent="0.25">
      <c r="B28" s="9"/>
      <c r="C28" s="119">
        <f>'Journal Entries'!E27</f>
        <v>450</v>
      </c>
      <c r="D28" s="115">
        <f>'Journal Entries'!F24</f>
        <v>450</v>
      </c>
      <c r="E28" s="11"/>
      <c r="F28" s="9"/>
      <c r="G28" s="119">
        <f>'Journal Entries'!E26</f>
        <v>20000</v>
      </c>
      <c r="H28" s="86"/>
      <c r="I28" s="11"/>
      <c r="J28" s="74"/>
      <c r="K28" s="133"/>
      <c r="L28" s="134"/>
      <c r="M28" s="66"/>
    </row>
    <row r="29" spans="2:13" ht="14.4" thickBot="1" x14ac:dyDescent="0.3">
      <c r="B29" s="13"/>
      <c r="C29" s="23"/>
      <c r="D29" s="118">
        <f>D28-C28</f>
        <v>0</v>
      </c>
      <c r="E29" s="71" t="s">
        <v>50</v>
      </c>
      <c r="F29" s="13"/>
      <c r="G29" s="23"/>
      <c r="H29" s="118">
        <f>H27-G28</f>
        <v>0</v>
      </c>
      <c r="I29" s="71" t="s">
        <v>50</v>
      </c>
      <c r="J29" s="75"/>
      <c r="K29" s="83"/>
      <c r="L29" s="118">
        <f>L27</f>
        <v>67140</v>
      </c>
      <c r="M29" s="76" t="s">
        <v>50</v>
      </c>
    </row>
    <row r="30" spans="2:13" ht="15" customHeight="1" thickBot="1" x14ac:dyDescent="0.3">
      <c r="B30" s="72"/>
      <c r="C30" s="81"/>
      <c r="D30" s="88"/>
      <c r="E30" s="42"/>
      <c r="F30" s="42"/>
      <c r="G30" s="81"/>
      <c r="H30" s="88"/>
      <c r="I30" s="42"/>
      <c r="J30" s="42"/>
      <c r="K30" s="81"/>
      <c r="L30" s="88"/>
      <c r="M30" s="73"/>
    </row>
    <row r="31" spans="2:13" s="8" customFormat="1" x14ac:dyDescent="0.25">
      <c r="B31" s="147" t="s">
        <v>11</v>
      </c>
      <c r="C31" s="148"/>
      <c r="D31" s="148"/>
      <c r="E31" s="149"/>
      <c r="F31" s="147" t="s">
        <v>18</v>
      </c>
      <c r="G31" s="148"/>
      <c r="H31" s="148"/>
      <c r="I31" s="149"/>
      <c r="J31" s="147" t="s">
        <v>15</v>
      </c>
      <c r="K31" s="148"/>
      <c r="L31" s="148"/>
      <c r="M31" s="149"/>
    </row>
    <row r="32" spans="2:13" x14ac:dyDescent="0.25">
      <c r="B32" s="9"/>
      <c r="D32" s="114">
        <f>'Journal Entries'!F5</f>
        <v>992000</v>
      </c>
      <c r="E32" s="11" t="s">
        <v>47</v>
      </c>
      <c r="F32" s="9" t="s">
        <v>47</v>
      </c>
      <c r="G32" s="113">
        <f>'Journal Entries'!E7</f>
        <v>48000</v>
      </c>
      <c r="H32" s="85"/>
      <c r="I32" s="11"/>
      <c r="J32" s="9" t="s">
        <v>47</v>
      </c>
      <c r="K32" s="113">
        <f>'Journal Entries'!E14</f>
        <v>525300</v>
      </c>
      <c r="L32" s="85"/>
      <c r="M32" s="11"/>
    </row>
    <row r="33" spans="2:13" x14ac:dyDescent="0.25">
      <c r="B33" s="9"/>
      <c r="C33" s="18"/>
      <c r="D33" s="115">
        <v>0</v>
      </c>
      <c r="E33" s="11"/>
      <c r="F33" s="9"/>
      <c r="G33" s="119">
        <v>0</v>
      </c>
      <c r="H33" s="86"/>
      <c r="I33" s="11"/>
      <c r="J33" s="9"/>
      <c r="K33" s="119">
        <v>0</v>
      </c>
      <c r="L33" s="115">
        <f>'Journal Entries'!F54</f>
        <v>525300</v>
      </c>
      <c r="M33" s="11"/>
    </row>
    <row r="34" spans="2:13" ht="14.4" thickBot="1" x14ac:dyDescent="0.3">
      <c r="B34" s="13"/>
      <c r="C34" s="23"/>
      <c r="D34" s="118">
        <f>D32+D33</f>
        <v>992000</v>
      </c>
      <c r="E34" s="71" t="s">
        <v>50</v>
      </c>
      <c r="F34" s="13" t="s">
        <v>50</v>
      </c>
      <c r="G34" s="116">
        <f>G32+G33</f>
        <v>48000</v>
      </c>
      <c r="H34" s="87"/>
      <c r="I34" s="71"/>
      <c r="J34" s="13" t="s">
        <v>49</v>
      </c>
      <c r="K34" s="116">
        <f>K32+K33-L33</f>
        <v>0</v>
      </c>
      <c r="L34" s="87"/>
      <c r="M34" s="71"/>
    </row>
    <row r="35" spans="2:13" ht="14.4" thickBot="1" x14ac:dyDescent="0.3">
      <c r="B35" s="72"/>
      <c r="C35" s="81"/>
      <c r="D35" s="88"/>
      <c r="E35" s="42"/>
      <c r="F35" s="42"/>
      <c r="G35" s="81"/>
      <c r="H35" s="88"/>
      <c r="I35" s="42"/>
      <c r="J35" s="42"/>
      <c r="K35" s="81"/>
      <c r="L35" s="88"/>
      <c r="M35" s="73"/>
    </row>
    <row r="36" spans="2:13" s="8" customFormat="1" x14ac:dyDescent="0.25">
      <c r="B36" s="147" t="s">
        <v>43</v>
      </c>
      <c r="C36" s="148"/>
      <c r="D36" s="148"/>
      <c r="E36" s="149"/>
      <c r="F36" s="147" t="s">
        <v>31</v>
      </c>
      <c r="G36" s="148"/>
      <c r="H36" s="148"/>
      <c r="I36" s="149"/>
      <c r="J36" s="147" t="s">
        <v>21</v>
      </c>
      <c r="K36" s="148"/>
      <c r="L36" s="148"/>
      <c r="M36" s="149"/>
    </row>
    <row r="37" spans="2:13" x14ac:dyDescent="0.25">
      <c r="B37" s="9"/>
      <c r="D37" s="114">
        <f>'Journal Entries'!F18</f>
        <v>8640</v>
      </c>
      <c r="E37" s="11" t="s">
        <v>47</v>
      </c>
      <c r="F37" s="9" t="s">
        <v>47</v>
      </c>
      <c r="G37" s="113">
        <f>'Journal Entries'!E53</f>
        <v>372360</v>
      </c>
      <c r="H37" s="85"/>
      <c r="I37" s="11"/>
      <c r="J37" s="9" t="s">
        <v>47</v>
      </c>
      <c r="K37" s="113">
        <f>'Journal Entries'!E38</f>
        <v>111900</v>
      </c>
      <c r="L37" s="85"/>
      <c r="M37" s="11"/>
    </row>
    <row r="38" spans="2:13" x14ac:dyDescent="0.25">
      <c r="B38" s="9"/>
      <c r="C38" s="113">
        <f>'Journal Entries'!E52</f>
        <v>8640</v>
      </c>
      <c r="D38" s="114">
        <v>0</v>
      </c>
      <c r="E38" s="11"/>
      <c r="F38" s="9"/>
      <c r="G38" s="113">
        <v>0</v>
      </c>
      <c r="H38" s="85"/>
      <c r="I38" s="11"/>
      <c r="J38" s="9"/>
      <c r="K38" s="113">
        <f>'Journal Entries'!E60</f>
        <v>1300</v>
      </c>
      <c r="L38" s="85"/>
      <c r="M38" s="11"/>
    </row>
    <row r="39" spans="2:13" x14ac:dyDescent="0.25">
      <c r="B39" s="9"/>
      <c r="C39" s="18"/>
      <c r="D39" s="86"/>
      <c r="E39" s="11"/>
      <c r="F39" s="9"/>
      <c r="G39" s="18"/>
      <c r="H39" s="86"/>
      <c r="I39" s="11"/>
      <c r="J39" s="9"/>
      <c r="K39" s="119">
        <v>0</v>
      </c>
      <c r="L39" s="86"/>
      <c r="M39" s="11"/>
    </row>
    <row r="40" spans="2:13" ht="14.4" thickBot="1" x14ac:dyDescent="0.3">
      <c r="B40" s="13"/>
      <c r="C40" s="23"/>
      <c r="D40" s="118">
        <f>D37-C38</f>
        <v>0</v>
      </c>
      <c r="E40" s="71" t="s">
        <v>50</v>
      </c>
      <c r="F40" s="13" t="s">
        <v>50</v>
      </c>
      <c r="G40" s="116">
        <f>G37+G38</f>
        <v>372360</v>
      </c>
      <c r="H40" s="87"/>
      <c r="I40" s="71"/>
      <c r="J40" s="13" t="s">
        <v>49</v>
      </c>
      <c r="K40" s="116">
        <f>K37+K38+K39</f>
        <v>113200</v>
      </c>
      <c r="L40" s="87"/>
      <c r="M40" s="71"/>
    </row>
    <row r="41" spans="2:13" ht="14.4" thickBot="1" x14ac:dyDescent="0.3">
      <c r="B41" s="72"/>
      <c r="C41" s="81"/>
      <c r="D41" s="88"/>
      <c r="E41" s="42"/>
      <c r="F41" s="42"/>
      <c r="G41" s="81"/>
      <c r="H41" s="88"/>
      <c r="I41" s="42"/>
      <c r="J41" s="42"/>
      <c r="K41" s="81"/>
      <c r="L41" s="88"/>
      <c r="M41" s="73"/>
    </row>
    <row r="42" spans="2:13" s="8" customFormat="1" x14ac:dyDescent="0.25">
      <c r="B42" s="147" t="s">
        <v>22</v>
      </c>
      <c r="C42" s="148"/>
      <c r="D42" s="148"/>
      <c r="E42" s="149"/>
      <c r="F42" s="147" t="s">
        <v>33</v>
      </c>
      <c r="G42" s="148"/>
      <c r="H42" s="148"/>
      <c r="I42" s="149"/>
      <c r="J42" s="147" t="s">
        <v>20</v>
      </c>
      <c r="K42" s="148"/>
      <c r="L42" s="148"/>
      <c r="M42" s="149"/>
    </row>
    <row r="43" spans="2:13" x14ac:dyDescent="0.25">
      <c r="B43" s="9" t="s">
        <v>47</v>
      </c>
      <c r="C43" s="113">
        <f>'Journal Entries'!E63</f>
        <v>1040</v>
      </c>
      <c r="D43" s="85"/>
      <c r="E43" s="11"/>
      <c r="F43" s="9" t="s">
        <v>47</v>
      </c>
      <c r="G43" s="113">
        <v>0</v>
      </c>
      <c r="H43" s="85"/>
      <c r="I43" s="11"/>
      <c r="J43" s="9" t="s">
        <v>47</v>
      </c>
      <c r="K43" s="113">
        <v>0</v>
      </c>
      <c r="L43" s="85"/>
      <c r="M43" s="11"/>
    </row>
    <row r="44" spans="2:13" x14ac:dyDescent="0.25">
      <c r="B44" s="9"/>
      <c r="C44" s="113">
        <f>'Journal Entries'!E41</f>
        <v>2240</v>
      </c>
      <c r="D44" s="85"/>
      <c r="E44" s="11"/>
      <c r="F44" s="9"/>
      <c r="G44" s="113">
        <f>'Journal Entries'!E31</f>
        <v>7500</v>
      </c>
      <c r="H44" s="85"/>
      <c r="I44" s="11"/>
      <c r="J44" s="9"/>
      <c r="K44" s="113">
        <f>'Journal Entries'!E28</f>
        <v>900</v>
      </c>
      <c r="L44" s="85"/>
      <c r="M44" s="11"/>
    </row>
    <row r="45" spans="2:13" x14ac:dyDescent="0.25">
      <c r="B45" s="9"/>
      <c r="C45" s="119">
        <v>0</v>
      </c>
      <c r="D45" s="86"/>
      <c r="E45" s="11"/>
      <c r="F45" s="9"/>
      <c r="G45" s="119">
        <f>'Journal Entries'!E57</f>
        <v>7500</v>
      </c>
      <c r="H45" s="86"/>
      <c r="I45" s="11"/>
      <c r="J45" s="9"/>
      <c r="K45" s="119">
        <f>'Journal Entries'!E23</f>
        <v>450</v>
      </c>
      <c r="L45" s="86"/>
      <c r="M45" s="11"/>
    </row>
    <row r="46" spans="2:13" ht="14.4" thickBot="1" x14ac:dyDescent="0.3">
      <c r="B46" s="13" t="s">
        <v>50</v>
      </c>
      <c r="C46" s="116">
        <f>C43+C44+C45</f>
        <v>3280</v>
      </c>
      <c r="D46" s="87"/>
      <c r="E46" s="71"/>
      <c r="F46" s="13" t="s">
        <v>50</v>
      </c>
      <c r="G46" s="116">
        <f>G44+G45+G43</f>
        <v>15000</v>
      </c>
      <c r="H46" s="87"/>
      <c r="I46" s="71"/>
      <c r="J46" s="13" t="s">
        <v>49</v>
      </c>
      <c r="K46" s="116">
        <f>K44+K45+K43</f>
        <v>1350</v>
      </c>
      <c r="L46" s="87"/>
      <c r="M46" s="71"/>
    </row>
    <row r="47" spans="2:13" ht="14.4" thickBot="1" x14ac:dyDescent="0.3">
      <c r="B47" s="72"/>
      <c r="C47" s="81"/>
      <c r="D47" s="88"/>
      <c r="E47" s="42"/>
      <c r="F47" s="42"/>
      <c r="G47" s="81"/>
      <c r="H47" s="88"/>
      <c r="I47" s="42"/>
      <c r="J47" s="42"/>
      <c r="K47" s="81"/>
      <c r="L47" s="88"/>
      <c r="M47" s="73"/>
    </row>
    <row r="48" spans="2:13" s="8" customFormat="1" x14ac:dyDescent="0.25">
      <c r="B48" s="147" t="s">
        <v>24</v>
      </c>
      <c r="C48" s="148"/>
      <c r="D48" s="148"/>
      <c r="E48" s="149"/>
      <c r="F48" s="147" t="s">
        <v>32</v>
      </c>
      <c r="G48" s="148"/>
      <c r="H48" s="148"/>
      <c r="I48" s="149"/>
      <c r="J48" s="100"/>
      <c r="K48" s="101"/>
      <c r="L48" s="101"/>
      <c r="M48" s="102"/>
    </row>
    <row r="49" spans="2:13" x14ac:dyDescent="0.25">
      <c r="B49" s="9" t="s">
        <v>47</v>
      </c>
      <c r="C49" s="113">
        <f>'Journal Entries'!E66</f>
        <v>5066.666666666667</v>
      </c>
      <c r="D49" s="85"/>
      <c r="E49" s="11"/>
      <c r="F49" s="9" t="s">
        <v>47</v>
      </c>
      <c r="G49" s="113">
        <f>'Journal Entries'!E47</f>
        <v>1750</v>
      </c>
      <c r="H49" s="85"/>
      <c r="I49" s="11"/>
      <c r="J49" s="9"/>
      <c r="K49" s="16"/>
      <c r="L49" s="103"/>
      <c r="M49" s="11"/>
    </row>
    <row r="50" spans="2:13" x14ac:dyDescent="0.25">
      <c r="B50" s="9"/>
      <c r="C50" s="119">
        <f>0</f>
        <v>0</v>
      </c>
      <c r="D50" s="86"/>
      <c r="E50" s="11"/>
      <c r="F50" s="9"/>
      <c r="G50" s="119">
        <v>0</v>
      </c>
      <c r="H50" s="86"/>
      <c r="I50" s="11"/>
      <c r="J50" s="9"/>
      <c r="K50" s="16"/>
      <c r="L50" s="103"/>
      <c r="M50" s="11"/>
    </row>
    <row r="51" spans="2:13" ht="14.4" thickBot="1" x14ac:dyDescent="0.3">
      <c r="B51" s="13" t="s">
        <v>50</v>
      </c>
      <c r="C51" s="116">
        <f>C49+C50</f>
        <v>5066.666666666667</v>
      </c>
      <c r="D51" s="87"/>
      <c r="E51" s="71"/>
      <c r="F51" s="13" t="s">
        <v>50</v>
      </c>
      <c r="G51" s="116">
        <f>G49+G50</f>
        <v>1750</v>
      </c>
      <c r="H51" s="87"/>
      <c r="I51" s="71"/>
      <c r="J51" s="13"/>
      <c r="K51" s="23"/>
      <c r="L51" s="104"/>
      <c r="M51" s="71"/>
    </row>
  </sheetData>
  <mergeCells count="24">
    <mergeCell ref="B48:E48"/>
    <mergeCell ref="B31:E31"/>
    <mergeCell ref="J31:M31"/>
    <mergeCell ref="J42:M42"/>
    <mergeCell ref="J36:M36"/>
    <mergeCell ref="B36:E36"/>
    <mergeCell ref="B42:E42"/>
    <mergeCell ref="F48:I48"/>
    <mergeCell ref="F36:I36"/>
    <mergeCell ref="F42:I42"/>
    <mergeCell ref="F31:I31"/>
    <mergeCell ref="B2:M2"/>
    <mergeCell ref="B20:E20"/>
    <mergeCell ref="B14:E14"/>
    <mergeCell ref="F14:I14"/>
    <mergeCell ref="J14:M14"/>
    <mergeCell ref="B3:E3"/>
    <mergeCell ref="F3:I3"/>
    <mergeCell ref="J3:M3"/>
    <mergeCell ref="J26:M26"/>
    <mergeCell ref="F20:I20"/>
    <mergeCell ref="J20:M20"/>
    <mergeCell ref="B26:E26"/>
    <mergeCell ref="F26:I2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workbookViewId="0">
      <selection activeCell="D10" sqref="D10"/>
    </sheetView>
  </sheetViews>
  <sheetFormatPr defaultRowHeight="14.4" x14ac:dyDescent="0.3"/>
  <cols>
    <col min="2" max="2" width="30.6640625" bestFit="1" customWidth="1"/>
    <col min="3" max="4" width="11" style="3" customWidth="1"/>
  </cols>
  <sheetData>
    <row r="1" spans="2:4" ht="15" thickBot="1" x14ac:dyDescent="0.35"/>
    <row r="2" spans="2:4" s="2" customFormat="1" ht="15" thickBot="1" x14ac:dyDescent="0.35">
      <c r="B2" s="153" t="s">
        <v>14</v>
      </c>
      <c r="C2" s="154"/>
      <c r="D2" s="155"/>
    </row>
    <row r="3" spans="2:4" s="2" customFormat="1" ht="15" thickBot="1" x14ac:dyDescent="0.35">
      <c r="B3" s="92"/>
      <c r="C3" s="77" t="s">
        <v>12</v>
      </c>
      <c r="D3" s="77" t="s">
        <v>13</v>
      </c>
    </row>
    <row r="4" spans="2:4" x14ac:dyDescent="0.3">
      <c r="B4" s="69" t="s">
        <v>0</v>
      </c>
      <c r="C4" s="120">
        <f>'T-Accounts'!C12</f>
        <v>347720</v>
      </c>
      <c r="D4" s="78"/>
    </row>
    <row r="5" spans="2:4" x14ac:dyDescent="0.3">
      <c r="B5" s="67" t="s">
        <v>1</v>
      </c>
      <c r="C5" s="120">
        <f>'T-Accounts'!G12</f>
        <v>80500</v>
      </c>
      <c r="D5" s="78"/>
    </row>
    <row r="6" spans="2:4" x14ac:dyDescent="0.3">
      <c r="B6" s="67" t="s">
        <v>42</v>
      </c>
      <c r="C6" s="120">
        <f>'T-Accounts'!K12</f>
        <v>7500</v>
      </c>
      <c r="D6" s="78"/>
    </row>
    <row r="7" spans="2:4" x14ac:dyDescent="0.3">
      <c r="B7" s="67" t="s">
        <v>8</v>
      </c>
      <c r="C7" s="120">
        <f>'T-Accounts'!C18</f>
        <v>3640</v>
      </c>
      <c r="D7" s="78"/>
    </row>
    <row r="8" spans="2:4" x14ac:dyDescent="0.3">
      <c r="B8" s="67" t="s">
        <v>2</v>
      </c>
      <c r="C8" s="120">
        <f>'T-Accounts'!G18</f>
        <v>178800</v>
      </c>
      <c r="D8" s="78"/>
    </row>
    <row r="9" spans="2:4" x14ac:dyDescent="0.3">
      <c r="B9" s="67" t="s">
        <v>44</v>
      </c>
      <c r="C9" s="120">
        <f>'T-Accounts'!K18</f>
        <v>80000</v>
      </c>
      <c r="D9" s="78"/>
    </row>
    <row r="10" spans="2:4" x14ac:dyDescent="0.3">
      <c r="B10" s="67" t="s">
        <v>29</v>
      </c>
      <c r="C10" s="32"/>
      <c r="D10" s="121">
        <f>'T-Accounts'!D24</f>
        <v>29066.666666666668</v>
      </c>
    </row>
    <row r="11" spans="2:4" x14ac:dyDescent="0.3">
      <c r="B11" s="67" t="s">
        <v>4</v>
      </c>
      <c r="C11" s="32"/>
      <c r="D11" s="121">
        <f>'T-Accounts'!H24</f>
        <v>168660</v>
      </c>
    </row>
    <row r="12" spans="2:4" x14ac:dyDescent="0.3">
      <c r="B12" s="67" t="s">
        <v>5</v>
      </c>
      <c r="C12" s="32"/>
      <c r="D12" s="121">
        <f>'T-Accounts'!L24</f>
        <v>1300</v>
      </c>
    </row>
    <row r="13" spans="2:4" x14ac:dyDescent="0.3">
      <c r="B13" s="67" t="s">
        <v>6</v>
      </c>
      <c r="C13" s="32"/>
      <c r="D13" s="121">
        <f>'T-Accounts'!D29</f>
        <v>0</v>
      </c>
    </row>
    <row r="14" spans="2:4" x14ac:dyDescent="0.3">
      <c r="B14" s="67" t="s">
        <v>10</v>
      </c>
      <c r="C14" s="32"/>
      <c r="D14" s="121">
        <f>'T-Accounts'!H29</f>
        <v>0</v>
      </c>
    </row>
    <row r="15" spans="2:4" x14ac:dyDescent="0.3">
      <c r="B15" s="67" t="s">
        <v>28</v>
      </c>
      <c r="C15" s="32"/>
      <c r="D15" s="121">
        <f>'T-Accounts'!L29</f>
        <v>67140</v>
      </c>
    </row>
    <row r="16" spans="2:4" x14ac:dyDescent="0.3">
      <c r="B16" s="67" t="s">
        <v>11</v>
      </c>
      <c r="C16" s="32"/>
      <c r="D16" s="121">
        <f>'T-Accounts'!D34</f>
        <v>992000</v>
      </c>
    </row>
    <row r="17" spans="2:6" ht="15.75" customHeight="1" x14ac:dyDescent="0.3">
      <c r="B17" s="67" t="s">
        <v>30</v>
      </c>
      <c r="C17" s="120">
        <f>'T-Accounts'!G34</f>
        <v>48000</v>
      </c>
      <c r="D17" s="78"/>
    </row>
    <row r="18" spans="2:6" x14ac:dyDescent="0.3">
      <c r="B18" s="67" t="s">
        <v>15</v>
      </c>
      <c r="C18" s="120">
        <f>'T-Accounts'!K34</f>
        <v>0</v>
      </c>
      <c r="D18" s="78"/>
    </row>
    <row r="19" spans="2:6" x14ac:dyDescent="0.3">
      <c r="B19" s="67" t="s">
        <v>43</v>
      </c>
      <c r="C19" s="32"/>
      <c r="D19" s="121">
        <f>'T-Accounts'!D40</f>
        <v>0</v>
      </c>
    </row>
    <row r="20" spans="2:6" x14ac:dyDescent="0.3">
      <c r="B20" s="67" t="s">
        <v>31</v>
      </c>
      <c r="C20" s="120">
        <f>'T-Accounts'!G40</f>
        <v>372360</v>
      </c>
      <c r="D20" s="78"/>
    </row>
    <row r="21" spans="2:6" x14ac:dyDescent="0.3">
      <c r="B21" s="67" t="s">
        <v>21</v>
      </c>
      <c r="C21" s="120">
        <f>'T-Accounts'!K40</f>
        <v>113200</v>
      </c>
      <c r="D21" s="78"/>
    </row>
    <row r="22" spans="2:6" x14ac:dyDescent="0.3">
      <c r="B22" s="67" t="s">
        <v>22</v>
      </c>
      <c r="C22" s="120">
        <f>'T-Accounts'!C46</f>
        <v>3280</v>
      </c>
      <c r="D22" s="78"/>
    </row>
    <row r="23" spans="2:6" x14ac:dyDescent="0.3">
      <c r="B23" s="67" t="s">
        <v>33</v>
      </c>
      <c r="C23" s="120">
        <f>'T-Accounts'!G46</f>
        <v>15000</v>
      </c>
      <c r="D23" s="78"/>
    </row>
    <row r="24" spans="2:6" x14ac:dyDescent="0.3">
      <c r="B24" s="67" t="s">
        <v>20</v>
      </c>
      <c r="C24" s="120">
        <f>'T-Accounts'!K46</f>
        <v>1350</v>
      </c>
      <c r="D24" s="78"/>
    </row>
    <row r="25" spans="2:6" x14ac:dyDescent="0.3">
      <c r="B25" s="67" t="s">
        <v>24</v>
      </c>
      <c r="C25" s="120">
        <f>'T-Accounts'!C51</f>
        <v>5066.666666666667</v>
      </c>
      <c r="D25" s="78"/>
    </row>
    <row r="26" spans="2:6" ht="15" thickBot="1" x14ac:dyDescent="0.35">
      <c r="B26" s="68" t="s">
        <v>32</v>
      </c>
      <c r="C26" s="122">
        <f>'T-Accounts'!G51</f>
        <v>1750</v>
      </c>
      <c r="D26" s="79"/>
    </row>
    <row r="27" spans="2:6" s="1" customFormat="1" ht="15" thickBot="1" x14ac:dyDescent="0.35">
      <c r="B27" s="80" t="s">
        <v>19</v>
      </c>
      <c r="C27" s="123">
        <f>C4+C5+C6+C7+C8+C9+C17+C18+C20+C21+C22+C23+C24+C25+C26</f>
        <v>1258166.6666666667</v>
      </c>
      <c r="D27" s="123">
        <f>D10+D11+D12+D13+D14+D15+D16+D19</f>
        <v>1258166.6666666665</v>
      </c>
      <c r="F27" s="94"/>
    </row>
    <row r="28" spans="2:6" x14ac:dyDescent="0.3">
      <c r="C28" s="4"/>
      <c r="D28" s="4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E7" sqref="E7"/>
    </sheetView>
  </sheetViews>
  <sheetFormatPr defaultColWidth="9.109375" defaultRowHeight="13.8" x14ac:dyDescent="0.25"/>
  <cols>
    <col min="1" max="1" width="4" style="5" customWidth="1"/>
    <col min="2" max="2" width="7" style="5" customWidth="1"/>
    <col min="3" max="4" width="20" style="5" customWidth="1"/>
    <col min="5" max="6" width="12.6640625" style="5" customWidth="1"/>
    <col min="7" max="16384" width="9.109375" style="5"/>
  </cols>
  <sheetData>
    <row r="1" spans="2:6" ht="14.4" thickBot="1" x14ac:dyDescent="0.3"/>
    <row r="2" spans="2:6" ht="14.4" thickBot="1" x14ac:dyDescent="0.3">
      <c r="B2" s="96" t="s">
        <v>60</v>
      </c>
      <c r="C2" s="62"/>
      <c r="D2" s="62"/>
      <c r="E2" s="63"/>
      <c r="F2" s="64"/>
    </row>
    <row r="3" spans="2:6" ht="14.4" thickBot="1" x14ac:dyDescent="0.3">
      <c r="B3" s="98"/>
      <c r="C3" s="47" t="s">
        <v>12</v>
      </c>
      <c r="D3" s="47" t="s">
        <v>13</v>
      </c>
      <c r="E3" s="48" t="s">
        <v>26</v>
      </c>
      <c r="F3" s="49" t="s">
        <v>25</v>
      </c>
    </row>
    <row r="4" spans="2:6" x14ac:dyDescent="0.25">
      <c r="B4" s="50">
        <v>1</v>
      </c>
      <c r="C4" s="105" t="str">
        <f>'Chart of Accounts'!B16</f>
        <v>Sales</v>
      </c>
      <c r="D4" s="53"/>
      <c r="E4" s="108">
        <f>'Journal Entries'!F5</f>
        <v>992000</v>
      </c>
      <c r="F4" s="57"/>
    </row>
    <row r="5" spans="2:6" ht="14.4" thickBot="1" x14ac:dyDescent="0.3">
      <c r="B5" s="41"/>
      <c r="C5" s="36"/>
      <c r="D5" s="106" t="str">
        <f>'Chart of Accounts'!B15</f>
        <v>Income Summary</v>
      </c>
      <c r="E5" s="10"/>
      <c r="F5" s="124">
        <f>E4</f>
        <v>992000</v>
      </c>
    </row>
    <row r="6" spans="2:6" ht="14.4" thickBot="1" x14ac:dyDescent="0.3">
      <c r="B6" s="97"/>
      <c r="C6" s="99"/>
      <c r="D6" s="62"/>
      <c r="E6" s="63"/>
      <c r="F6" s="64"/>
    </row>
    <row r="7" spans="2:6" x14ac:dyDescent="0.25">
      <c r="B7" s="50">
        <v>2</v>
      </c>
      <c r="C7" s="105" t="str">
        <f>'Chart of Accounts'!B15</f>
        <v>Income Summary</v>
      </c>
      <c r="D7" s="65"/>
      <c r="E7" s="125">
        <f>SUM(F8:F15)</f>
        <v>560006.66666666663</v>
      </c>
      <c r="F7" s="57"/>
    </row>
    <row r="8" spans="2:6" x14ac:dyDescent="0.25">
      <c r="B8" s="41"/>
      <c r="C8" s="10"/>
      <c r="D8" s="106" t="str">
        <f>'Chart of Accounts'!B17</f>
        <v xml:space="preserve">Sales Returns </v>
      </c>
      <c r="E8" s="36"/>
      <c r="F8" s="111">
        <f>'Trial Balance'!C17</f>
        <v>48000</v>
      </c>
    </row>
    <row r="9" spans="2:6" x14ac:dyDescent="0.25">
      <c r="B9" s="41"/>
      <c r="C9" s="10"/>
      <c r="D9" s="106" t="str">
        <f>'Chart of Accounts'!B20</f>
        <v>Cost of Goods Sold</v>
      </c>
      <c r="E9" s="36"/>
      <c r="F9" s="111">
        <f>'Trial Balance'!C20</f>
        <v>372360</v>
      </c>
    </row>
    <row r="10" spans="2:6" x14ac:dyDescent="0.25">
      <c r="B10" s="41"/>
      <c r="C10" s="10"/>
      <c r="D10" s="106" t="str">
        <f>'Chart of Accounts'!B21</f>
        <v>Wage Expense</v>
      </c>
      <c r="E10" s="36"/>
      <c r="F10" s="111">
        <f>'Trial Balance'!C21</f>
        <v>113200</v>
      </c>
    </row>
    <row r="11" spans="2:6" x14ac:dyDescent="0.25">
      <c r="B11" s="41"/>
      <c r="C11" s="10"/>
      <c r="D11" s="106" t="str">
        <f>'Chart of Accounts'!B22</f>
        <v>Insurance Expense</v>
      </c>
      <c r="E11" s="36"/>
      <c r="F11" s="111">
        <f>'Trial Balance'!C22</f>
        <v>3280</v>
      </c>
    </row>
    <row r="12" spans="2:6" x14ac:dyDescent="0.25">
      <c r="B12" s="41"/>
      <c r="C12" s="10"/>
      <c r="D12" s="106" t="str">
        <f>'Chart of Accounts'!B23</f>
        <v>Rent Expense</v>
      </c>
      <c r="E12" s="36"/>
      <c r="F12" s="111">
        <f>'Trial Balance'!C23</f>
        <v>15000</v>
      </c>
    </row>
    <row r="13" spans="2:6" x14ac:dyDescent="0.25">
      <c r="B13" s="41"/>
      <c r="C13" s="10"/>
      <c r="D13" s="106" t="str">
        <f>'Chart of Accounts'!B24</f>
        <v>Interest Expense</v>
      </c>
      <c r="E13" s="36"/>
      <c r="F13" s="111">
        <f>'Trial Balance'!C24</f>
        <v>1350</v>
      </c>
    </row>
    <row r="14" spans="2:6" x14ac:dyDescent="0.25">
      <c r="B14" s="41"/>
      <c r="C14" s="10"/>
      <c r="D14" s="106" t="str">
        <f>'Chart of Accounts'!B25</f>
        <v>Depreciation Expense</v>
      </c>
      <c r="E14" s="36"/>
      <c r="F14" s="111">
        <f>'Trial Balance'!C25</f>
        <v>5066.666666666667</v>
      </c>
    </row>
    <row r="15" spans="2:6" ht="14.4" thickBot="1" x14ac:dyDescent="0.3">
      <c r="B15" s="46"/>
      <c r="C15" s="39"/>
      <c r="D15" s="107" t="str">
        <f>'Chart of Accounts'!B26</f>
        <v>Utility Expense</v>
      </c>
      <c r="E15" s="39"/>
      <c r="F15" s="110">
        <f>'Trial Balance'!C26</f>
        <v>1750</v>
      </c>
    </row>
    <row r="16" spans="2:6" ht="14.4" thickBot="1" x14ac:dyDescent="0.3">
      <c r="B16" s="97"/>
      <c r="C16" s="62"/>
      <c r="D16" s="62"/>
      <c r="E16" s="63"/>
      <c r="F16" s="64"/>
    </row>
    <row r="17" spans="2:6" x14ac:dyDescent="0.25">
      <c r="B17" s="50">
        <v>3</v>
      </c>
      <c r="C17" s="105" t="str">
        <f>'Chart of Accounts'!B15</f>
        <v>Income Summary</v>
      </c>
      <c r="D17" s="51"/>
      <c r="E17" s="108">
        <f>'Income Statement'!D21</f>
        <v>431993.33333333331</v>
      </c>
      <c r="F17" s="57"/>
    </row>
    <row r="18" spans="2:6" ht="14.4" thickBot="1" x14ac:dyDescent="0.3">
      <c r="B18" s="46"/>
      <c r="C18" s="14"/>
      <c r="D18" s="107" t="str">
        <f>'Chart of Accounts'!B14</f>
        <v>Retained Earnings</v>
      </c>
      <c r="E18" s="40"/>
      <c r="F18" s="110">
        <f>'Income Statement'!D21</f>
        <v>431993.33333333331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workbookViewId="0">
      <selection activeCell="F21" sqref="F21"/>
    </sheetView>
  </sheetViews>
  <sheetFormatPr defaultRowHeight="14.4" x14ac:dyDescent="0.3"/>
  <cols>
    <col min="1" max="1" width="4.109375" customWidth="1"/>
    <col min="2" max="2" width="36.6640625" customWidth="1"/>
  </cols>
  <sheetData>
    <row r="1" spans="2:4" ht="15" thickBot="1" x14ac:dyDescent="0.35"/>
    <row r="2" spans="2:4" x14ac:dyDescent="0.3">
      <c r="B2" s="141" t="s">
        <v>34</v>
      </c>
      <c r="C2" s="142"/>
      <c r="D2" s="143"/>
    </row>
    <row r="3" spans="2:4" x14ac:dyDescent="0.3">
      <c r="B3" s="135" t="s">
        <v>16</v>
      </c>
      <c r="C3" s="136"/>
      <c r="D3" s="137"/>
    </row>
    <row r="4" spans="2:4" ht="15" thickBot="1" x14ac:dyDescent="0.35">
      <c r="B4" s="138" t="s">
        <v>61</v>
      </c>
      <c r="C4" s="139"/>
      <c r="D4" s="140"/>
    </row>
    <row r="5" spans="2:4" x14ac:dyDescent="0.3">
      <c r="B5" s="9" t="s">
        <v>11</v>
      </c>
      <c r="C5" s="113">
        <f>'Closing Entries'!E4</f>
        <v>992000</v>
      </c>
      <c r="D5" s="89"/>
    </row>
    <row r="6" spans="2:4" x14ac:dyDescent="0.3">
      <c r="B6" s="9" t="s">
        <v>58</v>
      </c>
      <c r="C6" s="119">
        <f>'Trial Balance'!C17</f>
        <v>48000</v>
      </c>
      <c r="D6" s="89"/>
    </row>
    <row r="7" spans="2:4" x14ac:dyDescent="0.3">
      <c r="B7" s="9" t="s">
        <v>56</v>
      </c>
      <c r="C7" s="82"/>
      <c r="D7" s="126">
        <f>C5-C6</f>
        <v>944000</v>
      </c>
    </row>
    <row r="8" spans="2:4" x14ac:dyDescent="0.3">
      <c r="B8" s="9"/>
      <c r="C8" s="82"/>
      <c r="D8" s="89"/>
    </row>
    <row r="9" spans="2:4" x14ac:dyDescent="0.3">
      <c r="B9" s="9" t="s">
        <v>52</v>
      </c>
      <c r="C9" s="113">
        <f>'Beginning Balance Sheet'!D10</f>
        <v>34500</v>
      </c>
      <c r="D9" s="89"/>
    </row>
    <row r="10" spans="2:4" x14ac:dyDescent="0.3">
      <c r="B10" s="9" t="s">
        <v>53</v>
      </c>
      <c r="C10" s="113">
        <f>'Journal Entries'!E14</f>
        <v>525300</v>
      </c>
      <c r="D10" s="90"/>
    </row>
    <row r="11" spans="2:4" x14ac:dyDescent="0.3">
      <c r="B11" s="9" t="s">
        <v>54</v>
      </c>
      <c r="C11" s="113">
        <f>'Journal Entries'!F18</f>
        <v>8640</v>
      </c>
      <c r="D11" s="89"/>
    </row>
    <row r="12" spans="2:4" x14ac:dyDescent="0.3">
      <c r="B12" s="9" t="s">
        <v>55</v>
      </c>
      <c r="C12" s="119">
        <f>'Journal Entries'!E51</f>
        <v>178800</v>
      </c>
      <c r="D12" s="89"/>
    </row>
    <row r="13" spans="2:4" x14ac:dyDescent="0.3">
      <c r="B13" s="9" t="s">
        <v>57</v>
      </c>
      <c r="C13" s="82"/>
      <c r="D13" s="124">
        <f>'Journal Entries'!E53</f>
        <v>372360</v>
      </c>
    </row>
    <row r="14" spans="2:4" x14ac:dyDescent="0.3">
      <c r="B14" s="9" t="s">
        <v>21</v>
      </c>
      <c r="C14" s="16"/>
      <c r="D14" s="124">
        <f>'T-Accounts'!K40</f>
        <v>113200</v>
      </c>
    </row>
    <row r="15" spans="2:4" x14ac:dyDescent="0.3">
      <c r="B15" s="9" t="s">
        <v>22</v>
      </c>
      <c r="C15" s="20"/>
      <c r="D15" s="124">
        <f>'T-Accounts'!C46</f>
        <v>3280</v>
      </c>
    </row>
    <row r="16" spans="2:4" x14ac:dyDescent="0.3">
      <c r="B16" s="9" t="s">
        <v>33</v>
      </c>
      <c r="C16" s="16"/>
      <c r="D16" s="124">
        <f>'T-Accounts'!G46</f>
        <v>15000</v>
      </c>
    </row>
    <row r="17" spans="2:4" x14ac:dyDescent="0.3">
      <c r="B17" s="9" t="s">
        <v>20</v>
      </c>
      <c r="C17" s="16"/>
      <c r="D17" s="124">
        <f>'T-Accounts'!K46</f>
        <v>1350</v>
      </c>
    </row>
    <row r="18" spans="2:4" x14ac:dyDescent="0.3">
      <c r="B18" s="9" t="s">
        <v>24</v>
      </c>
      <c r="C18" s="24"/>
      <c r="D18" s="124">
        <f>'T-Accounts'!C51</f>
        <v>5066.666666666667</v>
      </c>
    </row>
    <row r="19" spans="2:4" x14ac:dyDescent="0.3">
      <c r="B19" s="9" t="s">
        <v>32</v>
      </c>
      <c r="C19" s="16"/>
      <c r="D19" s="126">
        <f>'T-Accounts'!G51</f>
        <v>1750</v>
      </c>
    </row>
    <row r="20" spans="2:4" x14ac:dyDescent="0.3">
      <c r="B20" s="9" t="s">
        <v>59</v>
      </c>
      <c r="C20" s="16"/>
      <c r="D20" s="124">
        <f>D13+D14+D15+D16+D17+D18+D19</f>
        <v>512006.66666666669</v>
      </c>
    </row>
    <row r="21" spans="2:4" s="1" customFormat="1" ht="15" thickBot="1" x14ac:dyDescent="0.35">
      <c r="B21" s="95" t="s">
        <v>17</v>
      </c>
      <c r="C21" s="27"/>
      <c r="D21" s="127">
        <f>D7-D20</f>
        <v>431993.33333333331</v>
      </c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6"/>
  <sheetViews>
    <sheetView tabSelected="1" workbookViewId="0">
      <selection activeCell="F25" sqref="F25"/>
    </sheetView>
  </sheetViews>
  <sheetFormatPr defaultRowHeight="14.4" x14ac:dyDescent="0.3"/>
  <cols>
    <col min="1" max="1" width="4" customWidth="1"/>
    <col min="2" max="2" width="33.88671875" customWidth="1"/>
    <col min="3" max="4" width="11.88671875" customWidth="1"/>
  </cols>
  <sheetData>
    <row r="1" spans="2:4" ht="15" thickBot="1" x14ac:dyDescent="0.35"/>
    <row r="2" spans="2:4" x14ac:dyDescent="0.3">
      <c r="B2" s="141" t="s">
        <v>34</v>
      </c>
      <c r="C2" s="142"/>
      <c r="D2" s="143"/>
    </row>
    <row r="3" spans="2:4" x14ac:dyDescent="0.3">
      <c r="B3" s="135" t="s">
        <v>7</v>
      </c>
      <c r="C3" s="136"/>
      <c r="D3" s="137"/>
    </row>
    <row r="4" spans="2:4" ht="15" thickBot="1" x14ac:dyDescent="0.35">
      <c r="B4" s="138" t="s">
        <v>62</v>
      </c>
      <c r="C4" s="139"/>
      <c r="D4" s="140"/>
    </row>
    <row r="5" spans="2:4" x14ac:dyDescent="0.3">
      <c r="B5" s="31" t="s">
        <v>40</v>
      </c>
      <c r="C5" s="29"/>
      <c r="D5" s="30"/>
    </row>
    <row r="6" spans="2:4" x14ac:dyDescent="0.3">
      <c r="B6" s="9" t="s">
        <v>0</v>
      </c>
      <c r="C6" s="82"/>
      <c r="D6" s="124">
        <f>'Trial Balance'!C4</f>
        <v>347720</v>
      </c>
    </row>
    <row r="7" spans="2:4" x14ac:dyDescent="0.3">
      <c r="B7" s="9" t="s">
        <v>1</v>
      </c>
      <c r="C7" s="82"/>
      <c r="D7" s="124">
        <f>'Trial Balance'!C5</f>
        <v>80500</v>
      </c>
    </row>
    <row r="8" spans="2:4" x14ac:dyDescent="0.3">
      <c r="B8" s="9" t="s">
        <v>42</v>
      </c>
      <c r="C8" s="82"/>
      <c r="D8" s="124">
        <f>'Trial Balance'!C6</f>
        <v>7500</v>
      </c>
    </row>
    <row r="9" spans="2:4" x14ac:dyDescent="0.3">
      <c r="B9" s="9" t="s">
        <v>8</v>
      </c>
      <c r="C9" s="82"/>
      <c r="D9" s="124">
        <f>'Trial Balance'!C7</f>
        <v>3640</v>
      </c>
    </row>
    <row r="10" spans="2:4" x14ac:dyDescent="0.3">
      <c r="B10" s="9" t="s">
        <v>2</v>
      </c>
      <c r="C10" s="82"/>
      <c r="D10" s="126">
        <f>'Trial Balance'!C8</f>
        <v>178800</v>
      </c>
    </row>
    <row r="11" spans="2:4" x14ac:dyDescent="0.3">
      <c r="B11" s="9" t="s">
        <v>35</v>
      </c>
      <c r="C11" s="82"/>
      <c r="D11" s="124">
        <f>D6+D7+D8+D9+D10</f>
        <v>618160</v>
      </c>
    </row>
    <row r="12" spans="2:4" x14ac:dyDescent="0.3">
      <c r="B12" s="9"/>
      <c r="C12" s="16"/>
      <c r="D12" s="17"/>
    </row>
    <row r="13" spans="2:4" x14ac:dyDescent="0.3">
      <c r="B13" s="9" t="s">
        <v>44</v>
      </c>
      <c r="C13" s="128">
        <f>'Trial Balance'!C9</f>
        <v>80000</v>
      </c>
      <c r="D13" s="17"/>
    </row>
    <row r="14" spans="2:4" x14ac:dyDescent="0.3">
      <c r="B14" s="9" t="s">
        <v>39</v>
      </c>
      <c r="C14" s="119">
        <f>'Trial Balance'!D10</f>
        <v>29066.666666666668</v>
      </c>
      <c r="D14" s="17"/>
    </row>
    <row r="15" spans="2:4" x14ac:dyDescent="0.3">
      <c r="B15" s="9" t="s">
        <v>45</v>
      </c>
      <c r="C15" s="16"/>
      <c r="D15" s="126">
        <f>C13-C14</f>
        <v>50933.333333333328</v>
      </c>
    </row>
    <row r="16" spans="2:4" x14ac:dyDescent="0.3">
      <c r="B16" s="12" t="s">
        <v>36</v>
      </c>
      <c r="C16" s="24"/>
      <c r="D16" s="129">
        <f>D11+D15</f>
        <v>669093.33333333337</v>
      </c>
    </row>
    <row r="17" spans="2:4" x14ac:dyDescent="0.3">
      <c r="B17" s="9"/>
      <c r="C17" s="16"/>
      <c r="D17" s="17"/>
    </row>
    <row r="18" spans="2:4" x14ac:dyDescent="0.3">
      <c r="B18" s="12" t="s">
        <v>3</v>
      </c>
      <c r="C18" s="16"/>
      <c r="D18" s="17"/>
    </row>
    <row r="19" spans="2:4" x14ac:dyDescent="0.3">
      <c r="B19" s="9" t="s">
        <v>4</v>
      </c>
      <c r="C19" s="16"/>
      <c r="D19" s="124">
        <f>'Trial Balance'!D11</f>
        <v>168660</v>
      </c>
    </row>
    <row r="20" spans="2:4" x14ac:dyDescent="0.3">
      <c r="B20" s="9" t="s">
        <v>5</v>
      </c>
      <c r="C20" s="16"/>
      <c r="D20" s="124">
        <f>'Trial Balance'!D12</f>
        <v>1300</v>
      </c>
    </row>
    <row r="21" spans="2:4" x14ac:dyDescent="0.3">
      <c r="B21" s="9" t="s">
        <v>6</v>
      </c>
      <c r="C21" s="16"/>
      <c r="D21" s="124">
        <f>'Trial Balance'!D13</f>
        <v>0</v>
      </c>
    </row>
    <row r="22" spans="2:4" x14ac:dyDescent="0.3">
      <c r="B22" s="9" t="s">
        <v>10</v>
      </c>
      <c r="C22" s="16"/>
      <c r="D22" s="126">
        <f>'Trial Balance'!D14</f>
        <v>0</v>
      </c>
    </row>
    <row r="23" spans="2:4" x14ac:dyDescent="0.3">
      <c r="B23" s="9" t="s">
        <v>37</v>
      </c>
      <c r="C23" s="16"/>
      <c r="D23" s="130">
        <f>SUM(D19:D22)</f>
        <v>169960</v>
      </c>
    </row>
    <row r="24" spans="2:4" x14ac:dyDescent="0.3">
      <c r="B24" s="9"/>
      <c r="C24" s="16"/>
      <c r="D24" s="21"/>
    </row>
    <row r="25" spans="2:4" x14ac:dyDescent="0.3">
      <c r="B25" s="9" t="s">
        <v>28</v>
      </c>
      <c r="C25" s="16"/>
      <c r="D25" s="131">
        <f>'Trial Balance'!D15+'Income Statement'!D21</f>
        <v>499133.33333333331</v>
      </c>
    </row>
    <row r="26" spans="2:4" ht="16.2" thickBot="1" x14ac:dyDescent="0.45">
      <c r="B26" s="26" t="s">
        <v>38</v>
      </c>
      <c r="C26" s="27"/>
      <c r="D26" s="132">
        <f>D23+D25</f>
        <v>669093.33333333326</v>
      </c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Beginning Balance Sheet</vt:lpstr>
      <vt:lpstr>Chart of Accounts</vt:lpstr>
      <vt:lpstr>Journal Entries</vt:lpstr>
      <vt:lpstr>T-Accounts</vt:lpstr>
      <vt:lpstr>Trial Balance</vt:lpstr>
      <vt:lpstr>Closing Entries</vt:lpstr>
      <vt:lpstr>Income Statement</vt:lpstr>
      <vt:lpstr>Balance Sheet</vt:lpstr>
    </vt:vector>
  </TitlesOfParts>
  <Company>College of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jduffy</dc:creator>
  <cp:lastModifiedBy>Adam Sverak</cp:lastModifiedBy>
  <cp:lastPrinted>2017-07-02T16:19:24Z</cp:lastPrinted>
  <dcterms:created xsi:type="dcterms:W3CDTF">2012-02-27T21:20:33Z</dcterms:created>
  <dcterms:modified xsi:type="dcterms:W3CDTF">2017-07-03T00:14:56Z</dcterms:modified>
</cp:coreProperties>
</file>